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Вурнарский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<sst xmlns="http://schemas.openxmlformats.org/spreadsheetml/2006/main" count="109" uniqueCount="48">
  <si>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</si>
  <si>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</si>
  <si>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</si>
  <si>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</si>
  <si>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</si>
  <si>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</si>
  <si>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</si>
  <si>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</si>
  <si>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</si>
  <si>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</si>
  <si>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</si>
  <si>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</si>
  <si>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</si>
  <si>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</si>
  <si>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</si>
  <si>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</si>
  <si>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</si>
  <si>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</si>
  <si>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</si>
  <si>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</si>
  <si>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</si>
  <si>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</si>
  <si>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</si>
  <si>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</si>
  <si>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</si>
  <si>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</si>
  <si>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</si>
  <si>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</si>
  <si>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</si>
  <si>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</si>
  <si>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</si>
  <si>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</si>
  <si>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</si>
  <si>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</si>
  <si>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</si>
  <si>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</si>
  <si>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</si>
  <si>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</si>
  <si>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</si>
  <si>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</si>
  <si>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</si>
  <si>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</si>
  <si>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</si>
  <si>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</si>
  <si>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</si>
  <si>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</si>
  <si>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земельный налог (код дохода 00010606000000000110)</t>
  </si>
  <si>
    <t>Справка об исполнении бюджетов поселений Вурнарского района на 01 марта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</si>
</sst>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4" fontId="11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"/>
  <sheetViews>
    <sheetView tabSelected="1" zoomScalePageLayoutView="0" workbookViewId="0" topLeftCell="F1">
      <selection activeCell="G3" sqref="G3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7"/>
      <c r="Q1" s="7"/>
      <c r="R1" s="7"/>
      <c r="S1" s="59" t="s">
        <v>26</v>
      </c>
      <c r="T1" s="59"/>
      <c r="U1" s="59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60" t="s">
        <v>47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61" t="s">
        <v>0</v>
      </c>
      <c r="B4" s="61"/>
      <c r="C4" s="62" t="s">
        <v>23</v>
      </c>
      <c r="D4" s="63"/>
      <c r="E4" s="64"/>
      <c r="F4" s="71" t="s">
        <v>1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88" t="s">
        <v>22</v>
      </c>
      <c r="AR4" s="89"/>
      <c r="AS4" s="90"/>
      <c r="AT4" s="79" t="s">
        <v>1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62" t="s">
        <v>21</v>
      </c>
      <c r="BJ4" s="63"/>
      <c r="BK4" s="64"/>
    </row>
    <row r="5" spans="1:63" ht="13.5" customHeight="1">
      <c r="A5" s="61"/>
      <c r="B5" s="61"/>
      <c r="C5" s="65"/>
      <c r="D5" s="66"/>
      <c r="E5" s="67"/>
      <c r="F5" s="79" t="s">
        <v>2</v>
      </c>
      <c r="G5" s="79"/>
      <c r="H5" s="79"/>
      <c r="I5" s="28"/>
      <c r="J5" s="97" t="s">
        <v>3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9"/>
      <c r="AH5" s="79" t="s">
        <v>4</v>
      </c>
      <c r="AI5" s="79"/>
      <c r="AJ5" s="79"/>
      <c r="AK5" s="71" t="s">
        <v>3</v>
      </c>
      <c r="AL5" s="72"/>
      <c r="AM5" s="72"/>
      <c r="AN5" s="72"/>
      <c r="AO5" s="72"/>
      <c r="AP5" s="72"/>
      <c r="AQ5" s="91"/>
      <c r="AR5" s="92"/>
      <c r="AS5" s="93"/>
      <c r="AT5" s="71" t="s">
        <v>3</v>
      </c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65"/>
      <c r="BJ5" s="66"/>
      <c r="BK5" s="67"/>
    </row>
    <row r="6" spans="1:63" ht="59.25" customHeight="1">
      <c r="A6" s="61"/>
      <c r="B6" s="61"/>
      <c r="C6" s="65"/>
      <c r="D6" s="66"/>
      <c r="E6" s="67"/>
      <c r="F6" s="79"/>
      <c r="G6" s="79"/>
      <c r="H6" s="79"/>
      <c r="I6" s="26"/>
      <c r="J6" s="62" t="s">
        <v>5</v>
      </c>
      <c r="K6" s="63"/>
      <c r="L6" s="64"/>
      <c r="M6" s="62" t="s">
        <v>6</v>
      </c>
      <c r="N6" s="63"/>
      <c r="O6" s="64"/>
      <c r="P6" s="62" t="s">
        <v>16</v>
      </c>
      <c r="Q6" s="63"/>
      <c r="R6" s="64"/>
      <c r="S6" s="62" t="s">
        <v>46</v>
      </c>
      <c r="T6" s="63"/>
      <c r="U6" s="64"/>
      <c r="V6" s="62" t="s">
        <v>7</v>
      </c>
      <c r="W6" s="63"/>
      <c r="X6" s="64"/>
      <c r="Y6" s="62" t="s">
        <v>19</v>
      </c>
      <c r="Z6" s="63"/>
      <c r="AA6" s="64"/>
      <c r="AB6" s="62" t="s">
        <v>8</v>
      </c>
      <c r="AC6" s="63"/>
      <c r="AD6" s="64"/>
      <c r="AE6" s="62" t="s">
        <v>9</v>
      </c>
      <c r="AF6" s="63"/>
      <c r="AG6" s="64"/>
      <c r="AH6" s="79"/>
      <c r="AI6" s="79"/>
      <c r="AJ6" s="79"/>
      <c r="AK6" s="62" t="s">
        <v>17</v>
      </c>
      <c r="AL6" s="63"/>
      <c r="AM6" s="64"/>
      <c r="AN6" s="62" t="s">
        <v>18</v>
      </c>
      <c r="AO6" s="63"/>
      <c r="AP6" s="64"/>
      <c r="AQ6" s="91"/>
      <c r="AR6" s="92"/>
      <c r="AS6" s="93"/>
      <c r="AT6" s="82" t="s">
        <v>20</v>
      </c>
      <c r="AU6" s="83"/>
      <c r="AV6" s="84"/>
      <c r="AW6" s="81" t="s">
        <v>1</v>
      </c>
      <c r="AX6" s="81"/>
      <c r="AY6" s="81"/>
      <c r="AZ6" s="73" t="s">
        <v>24</v>
      </c>
      <c r="BA6" s="74"/>
      <c r="BB6" s="75"/>
      <c r="BC6" s="73" t="s">
        <v>14</v>
      </c>
      <c r="BD6" s="74"/>
      <c r="BE6" s="75"/>
      <c r="BF6" s="62" t="s">
        <v>25</v>
      </c>
      <c r="BG6" s="63"/>
      <c r="BH6" s="64"/>
      <c r="BI6" s="65"/>
      <c r="BJ6" s="66"/>
      <c r="BK6" s="67"/>
    </row>
    <row r="7" spans="1:63" ht="77.25" customHeight="1">
      <c r="A7" s="61"/>
      <c r="B7" s="61"/>
      <c r="C7" s="68"/>
      <c r="D7" s="69"/>
      <c r="E7" s="70"/>
      <c r="F7" s="79"/>
      <c r="G7" s="79"/>
      <c r="H7" s="79"/>
      <c r="I7" s="27"/>
      <c r="J7" s="68"/>
      <c r="K7" s="69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79"/>
      <c r="AI7" s="79"/>
      <c r="AJ7" s="79"/>
      <c r="AK7" s="68"/>
      <c r="AL7" s="69"/>
      <c r="AM7" s="70"/>
      <c r="AN7" s="68"/>
      <c r="AO7" s="69"/>
      <c r="AP7" s="70"/>
      <c r="AQ7" s="94"/>
      <c r="AR7" s="95"/>
      <c r="AS7" s="96"/>
      <c r="AT7" s="85"/>
      <c r="AU7" s="86"/>
      <c r="AV7" s="87"/>
      <c r="AW7" s="80" t="s">
        <v>15</v>
      </c>
      <c r="AX7" s="80"/>
      <c r="AY7" s="80"/>
      <c r="AZ7" s="76"/>
      <c r="BA7" s="77"/>
      <c r="BB7" s="78"/>
      <c r="BC7" s="76"/>
      <c r="BD7" s="77"/>
      <c r="BE7" s="78"/>
      <c r="BF7" s="68"/>
      <c r="BG7" s="69"/>
      <c r="BH7" s="70"/>
      <c r="BI7" s="68"/>
      <c r="BJ7" s="69"/>
      <c r="BK7" s="70"/>
    </row>
    <row r="8" spans="1:63" ht="24.75" customHeight="1">
      <c r="A8" s="61"/>
      <c r="B8" s="61"/>
      <c r="C8" s="42" t="s">
        <v>10</v>
      </c>
      <c r="D8" s="42" t="s">
        <v>11</v>
      </c>
      <c r="E8" s="42" t="s">
        <v>12</v>
      </c>
      <c r="F8" s="42" t="s">
        <v>10</v>
      </c>
      <c r="G8" s="42" t="s">
        <v>11</v>
      </c>
      <c r="H8" s="42" t="s">
        <v>12</v>
      </c>
      <c r="I8" s="42"/>
      <c r="J8" s="42" t="s">
        <v>10</v>
      </c>
      <c r="K8" s="42" t="s">
        <v>11</v>
      </c>
      <c r="L8" s="42" t="s">
        <v>12</v>
      </c>
      <c r="M8" s="42" t="s">
        <v>10</v>
      </c>
      <c r="N8" s="42" t="s">
        <v>11</v>
      </c>
      <c r="O8" s="42" t="s">
        <v>12</v>
      </c>
      <c r="P8" s="42" t="s">
        <v>10</v>
      </c>
      <c r="Q8" s="42" t="s">
        <v>11</v>
      </c>
      <c r="R8" s="42" t="s">
        <v>12</v>
      </c>
      <c r="S8" s="42" t="s">
        <v>10</v>
      </c>
      <c r="T8" s="42" t="s">
        <v>11</v>
      </c>
      <c r="U8" s="42" t="s">
        <v>12</v>
      </c>
      <c r="V8" s="42" t="s">
        <v>10</v>
      </c>
      <c r="W8" s="43" t="s">
        <v>11</v>
      </c>
      <c r="X8" s="42" t="s">
        <v>12</v>
      </c>
      <c r="Y8" s="42" t="s">
        <v>10</v>
      </c>
      <c r="Z8" s="43" t="s">
        <v>11</v>
      </c>
      <c r="AA8" s="42" t="s">
        <v>12</v>
      </c>
      <c r="AB8" s="42" t="s">
        <v>10</v>
      </c>
      <c r="AC8" s="42" t="s">
        <v>11</v>
      </c>
      <c r="AD8" s="42" t="s">
        <v>12</v>
      </c>
      <c r="AE8" s="42" t="s">
        <v>10</v>
      </c>
      <c r="AF8" s="42" t="s">
        <v>11</v>
      </c>
      <c r="AG8" s="42" t="s">
        <v>12</v>
      </c>
      <c r="AH8" s="43" t="s">
        <v>10</v>
      </c>
      <c r="AI8" s="42" t="s">
        <v>11</v>
      </c>
      <c r="AJ8" s="42" t="s">
        <v>12</v>
      </c>
      <c r="AK8" s="42" t="s">
        <v>10</v>
      </c>
      <c r="AL8" s="42" t="s">
        <v>11</v>
      </c>
      <c r="AM8" s="42" t="s">
        <v>12</v>
      </c>
      <c r="AN8" s="42" t="s">
        <v>10</v>
      </c>
      <c r="AO8" s="42" t="s">
        <v>11</v>
      </c>
      <c r="AP8" s="42" t="s">
        <v>12</v>
      </c>
      <c r="AQ8" s="42" t="s">
        <v>10</v>
      </c>
      <c r="AR8" s="42" t="s">
        <v>11</v>
      </c>
      <c r="AS8" s="42" t="s">
        <v>12</v>
      </c>
      <c r="AT8" s="44" t="s">
        <v>10</v>
      </c>
      <c r="AU8" s="42" t="s">
        <v>11</v>
      </c>
      <c r="AV8" s="42" t="s">
        <v>12</v>
      </c>
      <c r="AW8" s="42" t="s">
        <v>10</v>
      </c>
      <c r="AX8" s="42" t="s">
        <v>11</v>
      </c>
      <c r="AY8" s="42" t="s">
        <v>12</v>
      </c>
      <c r="AZ8" s="42" t="s">
        <v>10</v>
      </c>
      <c r="BA8" s="42" t="s">
        <v>11</v>
      </c>
      <c r="BB8" s="42" t="s">
        <v>12</v>
      </c>
      <c r="BC8" s="42" t="s">
        <v>10</v>
      </c>
      <c r="BD8" s="42" t="s">
        <v>11</v>
      </c>
      <c r="BE8" s="42" t="s">
        <v>12</v>
      </c>
      <c r="BF8" s="42" t="s">
        <v>10</v>
      </c>
      <c r="BG8" s="42" t="s">
        <v>11</v>
      </c>
      <c r="BH8" s="42" t="s">
        <v>12</v>
      </c>
      <c r="BI8" s="42" t="s">
        <v>10</v>
      </c>
      <c r="BJ8" s="42" t="s">
        <v>11</v>
      </c>
      <c r="BK8" s="42" t="s">
        <v>12</v>
      </c>
    </row>
    <row r="9" spans="1:63" ht="12.75">
      <c r="A9" s="100">
        <v>1</v>
      </c>
      <c r="B9" s="101"/>
      <c r="C9" s="36">
        <v>2</v>
      </c>
      <c r="D9" s="36">
        <v>3</v>
      </c>
      <c r="E9" s="37">
        <v>4</v>
      </c>
      <c r="F9" s="36">
        <v>5</v>
      </c>
      <c r="G9" s="36">
        <v>6</v>
      </c>
      <c r="H9" s="37">
        <v>7</v>
      </c>
      <c r="I9" s="37"/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  <c r="W9" s="38">
        <v>21</v>
      </c>
      <c r="X9" s="37">
        <v>22</v>
      </c>
      <c r="Y9" s="37">
        <v>23</v>
      </c>
      <c r="Z9" s="38">
        <v>24</v>
      </c>
      <c r="AA9" s="37">
        <v>25</v>
      </c>
      <c r="AB9" s="37">
        <v>26</v>
      </c>
      <c r="AC9" s="37">
        <v>27</v>
      </c>
      <c r="AD9" s="37">
        <v>28</v>
      </c>
      <c r="AE9" s="37">
        <v>29</v>
      </c>
      <c r="AF9" s="37">
        <v>30</v>
      </c>
      <c r="AG9" s="37">
        <v>31</v>
      </c>
      <c r="AH9" s="39">
        <v>32</v>
      </c>
      <c r="AI9" s="36">
        <v>33</v>
      </c>
      <c r="AJ9" s="36">
        <v>34</v>
      </c>
      <c r="AK9" s="36">
        <v>35</v>
      </c>
      <c r="AL9" s="36">
        <v>36</v>
      </c>
      <c r="AM9" s="36">
        <v>37</v>
      </c>
      <c r="AN9" s="36">
        <v>38</v>
      </c>
      <c r="AO9" s="36">
        <v>39</v>
      </c>
      <c r="AP9" s="36">
        <v>40</v>
      </c>
      <c r="AQ9" s="39">
        <v>41</v>
      </c>
      <c r="AR9" s="36">
        <v>42</v>
      </c>
      <c r="AS9" s="36">
        <v>43</v>
      </c>
      <c r="AT9" s="40">
        <v>44</v>
      </c>
      <c r="AU9" s="36">
        <v>45</v>
      </c>
      <c r="AV9" s="36">
        <v>46</v>
      </c>
      <c r="AW9" s="36">
        <v>47</v>
      </c>
      <c r="AX9" s="36">
        <v>48</v>
      </c>
      <c r="AY9" s="36">
        <v>49</v>
      </c>
      <c r="AZ9" s="39">
        <v>50</v>
      </c>
      <c r="BA9" s="39">
        <v>51</v>
      </c>
      <c r="BB9" s="39">
        <v>52</v>
      </c>
      <c r="BC9" s="39">
        <v>53</v>
      </c>
      <c r="BD9" s="39">
        <v>54</v>
      </c>
      <c r="BE9" s="39">
        <v>55</v>
      </c>
      <c r="BF9" s="39">
        <v>56</v>
      </c>
      <c r="BG9" s="39">
        <v>57</v>
      </c>
      <c r="BH9" s="39">
        <v>58</v>
      </c>
      <c r="BI9" s="36">
        <v>59</v>
      </c>
      <c r="BJ9" s="36">
        <v>60</v>
      </c>
      <c r="BK9" s="37">
        <v>61</v>
      </c>
    </row>
    <row r="10" spans="1:65" s="18" customFormat="1" ht="12.75">
      <c r="A10" s="2">
        <v>1</v>
      </c>
      <c r="B10" s="46" t="s">
        <v>27</v>
      </c>
      <c r="C10" s="47">
        <f>F10+AH10</f>
        <v>4636.400000000001</v>
      </c>
      <c r="D10" s="48">
        <f>G10+AI10</f>
        <v>649.7</v>
      </c>
      <c r="E10" s="3">
        <f>D10/C10*100</f>
        <v>14.013027348805107</v>
      </c>
      <c r="F10" s="29">
        <f>J10+M10+P10+S10+V10+Y10+AB10+AE10+16</f>
        <v>522.1</v>
      </c>
      <c r="G10" s="3">
        <f>K10+N10+Q10+T10+W10+Z10+AC10+AF10+2.6</f>
        <v>73.5</v>
      </c>
      <c r="H10" s="3">
        <f>G10/F10*100</f>
        <v>14.0777628806742</v>
      </c>
      <c r="I10" s="3">
        <f>K10+N10+Q10+T10</f>
        <v>68.2</v>
      </c>
      <c r="J10" s="29">
        <v>260.7</v>
      </c>
      <c r="K10" s="3">
        <v>53.1</v>
      </c>
      <c r="L10" s="3">
        <f>K10/J10*100</f>
        <v>20.36823935558113</v>
      </c>
      <c r="M10" s="29">
        <v>14.5</v>
      </c>
      <c r="N10" s="3">
        <v>0.3</v>
      </c>
      <c r="O10" s="3">
        <f>N10/M10*100</f>
        <v>2.0689655172413794</v>
      </c>
      <c r="P10" s="29">
        <v>69.5</v>
      </c>
      <c r="Q10" s="3">
        <v>0.7</v>
      </c>
      <c r="R10" s="3">
        <f>Q10/P10*100</f>
        <v>1.0071942446043165</v>
      </c>
      <c r="S10" s="29">
        <v>118.4</v>
      </c>
      <c r="T10" s="3">
        <v>14.1</v>
      </c>
      <c r="U10" s="3">
        <f>T10/S10*100</f>
        <v>11.908783783783782</v>
      </c>
      <c r="V10" s="29">
        <v>41</v>
      </c>
      <c r="W10" s="14">
        <v>2.7</v>
      </c>
      <c r="X10" s="3">
        <f>W10/V10*100</f>
        <v>6.585365853658537</v>
      </c>
      <c r="Y10" s="29">
        <v>0</v>
      </c>
      <c r="Z10" s="14">
        <v>0</v>
      </c>
      <c r="AA10" s="3" t="e">
        <f>Z10/Y10*100</f>
        <v>#DIV/0!</v>
      </c>
      <c r="AB10" s="29">
        <v>2</v>
      </c>
      <c r="AC10" s="3">
        <v>0</v>
      </c>
      <c r="AD10" s="3">
        <f>AC10/AB10*100</f>
        <v>0</v>
      </c>
      <c r="AE10" s="29">
        <v>0</v>
      </c>
      <c r="AF10" s="3">
        <v>0</v>
      </c>
      <c r="AG10" s="3" t="e">
        <f>AF10/AE10*100</f>
        <v>#DIV/0!</v>
      </c>
      <c r="AH10" s="29">
        <v>4114.3</v>
      </c>
      <c r="AI10" s="3">
        <v>576.2</v>
      </c>
      <c r="AJ10" s="3">
        <f>AI10/AH10*100</f>
        <v>14.004812483289989</v>
      </c>
      <c r="AK10" s="29">
        <v>2499.5</v>
      </c>
      <c r="AL10" s="3">
        <v>407.9</v>
      </c>
      <c r="AM10" s="3">
        <f>AL10/AK10*100</f>
        <v>16.31926385277055</v>
      </c>
      <c r="AN10" s="29">
        <v>475.3</v>
      </c>
      <c r="AO10" s="3">
        <v>38.5</v>
      </c>
      <c r="AP10" s="3">
        <f>AO10/AN10*100</f>
        <v>8.100147275405007</v>
      </c>
      <c r="AQ10" s="49">
        <v>4660.3</v>
      </c>
      <c r="AR10" s="4">
        <v>583.2</v>
      </c>
      <c r="AS10" s="3">
        <f>AR10/AQ10*100</f>
        <v>12.514215823015688</v>
      </c>
      <c r="AT10" s="50">
        <v>710.3</v>
      </c>
      <c r="AU10" s="4">
        <v>71.4</v>
      </c>
      <c r="AV10" s="3">
        <f>AU10/AT10*100</f>
        <v>10.052090665915811</v>
      </c>
      <c r="AW10" s="51">
        <v>699.8</v>
      </c>
      <c r="AX10" s="4">
        <v>71.4</v>
      </c>
      <c r="AY10" s="3">
        <f>AX10/AW10*100</f>
        <v>10.202915118605317</v>
      </c>
      <c r="AZ10" s="33">
        <v>1100.1</v>
      </c>
      <c r="BA10" s="6">
        <v>0</v>
      </c>
      <c r="BB10" s="14">
        <f>BA10/AZ10*100</f>
        <v>0</v>
      </c>
      <c r="BC10" s="51">
        <v>151.1</v>
      </c>
      <c r="BD10" s="6">
        <v>25.9</v>
      </c>
      <c r="BE10" s="3">
        <f>BD10/BC10*100</f>
        <v>17.1409662475182</v>
      </c>
      <c r="BF10" s="51">
        <v>2241.5</v>
      </c>
      <c r="BG10" s="4">
        <v>474.6</v>
      </c>
      <c r="BH10" s="3">
        <f>BG10/BF10*100</f>
        <v>21.173321436538036</v>
      </c>
      <c r="BI10" s="49">
        <f>C10-AQ10</f>
        <v>-23.899999999999636</v>
      </c>
      <c r="BJ10" s="52">
        <f>D10-AR10</f>
        <v>66.5</v>
      </c>
      <c r="BK10" s="3">
        <f>BJ10/BI10*100</f>
        <v>-278.242677824272</v>
      </c>
      <c r="BM10" s="20"/>
    </row>
    <row r="11" spans="1:65" s="18" customFormat="1" ht="12.75" customHeight="1">
      <c r="A11" s="2">
        <v>2</v>
      </c>
      <c r="B11" s="46" t="s">
        <v>28</v>
      </c>
      <c r="C11" s="47">
        <f aca="true" t="shared" si="0" ref="C11:D28">F11+AH11</f>
        <v>5819.5</v>
      </c>
      <c r="D11" s="48">
        <f t="shared" si="0"/>
        <v>629.2</v>
      </c>
      <c r="E11" s="3">
        <f aca="true" t="shared" si="1" ref="E11:E29">D11/C11*100</f>
        <v>10.81192542314632</v>
      </c>
      <c r="F11" s="29">
        <f>J11+M11+P11+S11+V11+Y11+AB11+AE11+14</f>
        <v>308.1</v>
      </c>
      <c r="G11" s="3">
        <f>K11+N11+Q11+T11+W11+Z11+AC11+AF11+2.4-1.6</f>
        <v>46.599999999999994</v>
      </c>
      <c r="H11" s="3">
        <f aca="true" t="shared" si="2" ref="H11:H28">G11/F11*100</f>
        <v>15.124959428756894</v>
      </c>
      <c r="I11" s="3">
        <f aca="true" t="shared" si="3" ref="I11:I29">K11+N11+Q11+T11</f>
        <v>40.199999999999996</v>
      </c>
      <c r="J11" s="29">
        <v>98.4</v>
      </c>
      <c r="K11" s="3">
        <v>29.9</v>
      </c>
      <c r="L11" s="3">
        <f>K11/J11*100</f>
        <v>30.386178861788615</v>
      </c>
      <c r="M11" s="29">
        <v>14.5</v>
      </c>
      <c r="N11" s="3">
        <v>0</v>
      </c>
      <c r="O11" s="3">
        <f aca="true" t="shared" si="4" ref="O11:O28">N11/M11*100</f>
        <v>0</v>
      </c>
      <c r="P11" s="29">
        <v>62.7</v>
      </c>
      <c r="Q11" s="3">
        <v>0.4</v>
      </c>
      <c r="R11" s="3">
        <f aca="true" t="shared" si="5" ref="R11:R28">Q11/P11*100</f>
        <v>0.6379585326953748</v>
      </c>
      <c r="S11" s="29">
        <v>91.5</v>
      </c>
      <c r="T11" s="3">
        <v>9.9</v>
      </c>
      <c r="U11" s="3">
        <f aca="true" t="shared" si="6" ref="U11:U28">T11/S11*100</f>
        <v>10.819672131147541</v>
      </c>
      <c r="V11" s="29">
        <v>25</v>
      </c>
      <c r="W11" s="14">
        <v>5.6</v>
      </c>
      <c r="X11" s="3">
        <f aca="true" t="shared" si="7" ref="X11:X28">W11/V11*100</f>
        <v>22.4</v>
      </c>
      <c r="Y11" s="29">
        <v>0</v>
      </c>
      <c r="Z11" s="14">
        <v>0</v>
      </c>
      <c r="AA11" s="3" t="e">
        <f aca="true" t="shared" si="8" ref="AA11:AA28">Z11/Y11*100</f>
        <v>#DIV/0!</v>
      </c>
      <c r="AB11" s="29">
        <v>2</v>
      </c>
      <c r="AC11" s="3">
        <v>0</v>
      </c>
      <c r="AD11" s="3">
        <f aca="true" t="shared" si="9" ref="AD11:AD28">AC11/AB11*100</f>
        <v>0</v>
      </c>
      <c r="AE11" s="29">
        <v>0</v>
      </c>
      <c r="AF11" s="3">
        <v>0</v>
      </c>
      <c r="AG11" s="3" t="e">
        <f aca="true" t="shared" si="10" ref="AG11:AG28">AF11/AE11*100</f>
        <v>#DIV/0!</v>
      </c>
      <c r="AH11" s="29">
        <v>5511.4</v>
      </c>
      <c r="AI11" s="3">
        <v>582.6</v>
      </c>
      <c r="AJ11" s="3">
        <f>AI11/AH11*100</f>
        <v>10.570816852342418</v>
      </c>
      <c r="AK11" s="29">
        <v>2511.8</v>
      </c>
      <c r="AL11" s="3">
        <v>410</v>
      </c>
      <c r="AM11" s="3">
        <f aca="true" t="shared" si="11" ref="AM11:AM28">AL11/AK11*100</f>
        <v>16.322955649335135</v>
      </c>
      <c r="AN11" s="29">
        <v>528</v>
      </c>
      <c r="AO11" s="3">
        <v>42.8</v>
      </c>
      <c r="AP11" s="3">
        <f aca="true" t="shared" si="12" ref="AP11:AP28">AO11/AN11*100</f>
        <v>8.106060606060606</v>
      </c>
      <c r="AQ11" s="49">
        <v>3350.5</v>
      </c>
      <c r="AR11" s="4">
        <v>416.6</v>
      </c>
      <c r="AS11" s="3">
        <f aca="true" t="shared" si="13" ref="AS11:AS28">AR11/AQ11*100</f>
        <v>12.433965079838831</v>
      </c>
      <c r="AT11" s="53">
        <v>649.3</v>
      </c>
      <c r="AU11" s="4">
        <v>88</v>
      </c>
      <c r="AV11" s="3">
        <f aca="true" t="shared" si="14" ref="AV11:AV28">AU11/AT11*100</f>
        <v>13.5530571384568</v>
      </c>
      <c r="AW11" s="51">
        <v>638.8</v>
      </c>
      <c r="AX11" s="4">
        <v>88</v>
      </c>
      <c r="AY11" s="3">
        <f aca="true" t="shared" si="15" ref="AY11:AY28">AX11/AW11*100</f>
        <v>13.775829680651222</v>
      </c>
      <c r="AZ11" s="32">
        <v>898.8</v>
      </c>
      <c r="BA11" s="6">
        <v>0</v>
      </c>
      <c r="BB11" s="14">
        <f aca="true" t="shared" si="16" ref="BB11:BB28">BA11/AZ11*100</f>
        <v>0</v>
      </c>
      <c r="BC11" s="51">
        <v>122.5</v>
      </c>
      <c r="BD11" s="6">
        <v>14.5</v>
      </c>
      <c r="BE11" s="3">
        <f aca="true" t="shared" si="17" ref="BE11:BE28">BD11/BC11*100</f>
        <v>11.83673469387755</v>
      </c>
      <c r="BF11" s="51">
        <v>1507.1</v>
      </c>
      <c r="BG11" s="4">
        <v>311.6</v>
      </c>
      <c r="BH11" s="3">
        <f aca="true" t="shared" si="18" ref="BH11:BH28">BG11/BF11*100</f>
        <v>20.67546944462876</v>
      </c>
      <c r="BI11" s="49">
        <f aca="true" t="shared" si="19" ref="BI11:BI28">C11-AQ11</f>
        <v>2469</v>
      </c>
      <c r="BJ11" s="52">
        <f aca="true" t="shared" si="20" ref="BJ11:BJ28">D11-AR11</f>
        <v>212.60000000000002</v>
      </c>
      <c r="BK11" s="3">
        <f aca="true" t="shared" si="21" ref="BK11:BK29">BJ11/BI11*100</f>
        <v>8.610773592547591</v>
      </c>
      <c r="BM11" s="20"/>
    </row>
    <row r="12" spans="1:65" s="18" customFormat="1" ht="12.75">
      <c r="A12" s="2">
        <v>3</v>
      </c>
      <c r="B12" s="46" t="s">
        <v>29</v>
      </c>
      <c r="C12" s="47">
        <f t="shared" si="0"/>
        <v>3337.5</v>
      </c>
      <c r="D12" s="48">
        <f>G12+AI12</f>
        <v>467.3</v>
      </c>
      <c r="E12" s="3">
        <f t="shared" si="1"/>
        <v>14.001498127340826</v>
      </c>
      <c r="F12" s="29">
        <f>J12+M12+P12+S12+V12+Y12+AB12+AE12+30</f>
        <v>270.9</v>
      </c>
      <c r="G12" s="3">
        <f>K12+N12+Q12+T12+W12+Z12+AC12+AF12+5.7</f>
        <v>23.6</v>
      </c>
      <c r="H12" s="3">
        <f t="shared" si="2"/>
        <v>8.71170173495755</v>
      </c>
      <c r="I12" s="3">
        <f t="shared" si="3"/>
        <v>16.700000000000003</v>
      </c>
      <c r="J12" s="29">
        <v>67.2</v>
      </c>
      <c r="K12" s="3">
        <v>14.8</v>
      </c>
      <c r="L12" s="3">
        <f aca="true" t="shared" si="22" ref="L12:L28">K12/J12*100</f>
        <v>22.023809523809522</v>
      </c>
      <c r="M12" s="29">
        <v>22.5</v>
      </c>
      <c r="N12" s="3">
        <v>0</v>
      </c>
      <c r="O12" s="3">
        <f t="shared" si="4"/>
        <v>0</v>
      </c>
      <c r="P12" s="29">
        <v>51.8</v>
      </c>
      <c r="Q12" s="3">
        <v>0.4</v>
      </c>
      <c r="R12" s="3">
        <f t="shared" si="5"/>
        <v>0.7722007722007723</v>
      </c>
      <c r="S12" s="30">
        <v>87.9</v>
      </c>
      <c r="T12" s="3">
        <v>1.5</v>
      </c>
      <c r="U12" s="3">
        <f t="shared" si="6"/>
        <v>1.7064846416382253</v>
      </c>
      <c r="V12" s="29">
        <v>10</v>
      </c>
      <c r="W12" s="14">
        <v>1.2</v>
      </c>
      <c r="X12" s="3">
        <f t="shared" si="7"/>
        <v>12</v>
      </c>
      <c r="Y12" s="29">
        <v>0</v>
      </c>
      <c r="Z12" s="14">
        <v>0</v>
      </c>
      <c r="AA12" s="3" t="e">
        <f t="shared" si="8"/>
        <v>#DIV/0!</v>
      </c>
      <c r="AB12" s="29">
        <v>1.5</v>
      </c>
      <c r="AC12" s="3">
        <v>0</v>
      </c>
      <c r="AD12" s="3">
        <f t="shared" si="9"/>
        <v>0</v>
      </c>
      <c r="AE12" s="29">
        <v>0</v>
      </c>
      <c r="AF12" s="3">
        <v>0</v>
      </c>
      <c r="AG12" s="3" t="e">
        <f t="shared" si="10"/>
        <v>#DIV/0!</v>
      </c>
      <c r="AH12" s="29">
        <v>3066.6</v>
      </c>
      <c r="AI12" s="3">
        <v>443.7</v>
      </c>
      <c r="AJ12" s="3">
        <f>AI12/AH12*100</f>
        <v>14.468792799843474</v>
      </c>
      <c r="AK12" s="29">
        <v>2192.7</v>
      </c>
      <c r="AL12" s="3">
        <v>366.6</v>
      </c>
      <c r="AM12" s="3">
        <f t="shared" si="11"/>
        <v>16.719113421808732</v>
      </c>
      <c r="AN12" s="29">
        <v>150.6</v>
      </c>
      <c r="AO12" s="3">
        <v>12.2</v>
      </c>
      <c r="AP12" s="3">
        <f t="shared" si="12"/>
        <v>8.100929614873838</v>
      </c>
      <c r="AQ12" s="32">
        <v>5834.1</v>
      </c>
      <c r="AR12" s="4">
        <v>444.3</v>
      </c>
      <c r="AS12" s="3">
        <f t="shared" si="13"/>
        <v>7.615570525016711</v>
      </c>
      <c r="AT12" s="53">
        <v>761.5</v>
      </c>
      <c r="AU12" s="4">
        <v>84.4</v>
      </c>
      <c r="AV12" s="3">
        <f t="shared" si="14"/>
        <v>11.08338804990151</v>
      </c>
      <c r="AW12" s="51">
        <v>751.1</v>
      </c>
      <c r="AX12" s="4">
        <v>84.4</v>
      </c>
      <c r="AY12" s="3">
        <f t="shared" si="15"/>
        <v>11.236852616162961</v>
      </c>
      <c r="AZ12" s="32">
        <v>1127.3</v>
      </c>
      <c r="BA12" s="6">
        <v>0</v>
      </c>
      <c r="BB12" s="14">
        <f t="shared" si="16"/>
        <v>0</v>
      </c>
      <c r="BC12" s="51">
        <v>1723.8</v>
      </c>
      <c r="BD12" s="6">
        <v>0</v>
      </c>
      <c r="BE12" s="3">
        <f t="shared" si="17"/>
        <v>0</v>
      </c>
      <c r="BF12" s="51">
        <v>1577.9</v>
      </c>
      <c r="BG12" s="4">
        <v>343</v>
      </c>
      <c r="BH12" s="3">
        <f t="shared" si="18"/>
        <v>21.737752709297165</v>
      </c>
      <c r="BI12" s="49">
        <f t="shared" si="19"/>
        <v>-2496.6000000000004</v>
      </c>
      <c r="BJ12" s="52">
        <f t="shared" si="20"/>
        <v>23</v>
      </c>
      <c r="BK12" s="3">
        <f t="shared" si="21"/>
        <v>-0.9212529039493711</v>
      </c>
      <c r="BM12" s="20"/>
    </row>
    <row r="13" spans="1:65" s="18" customFormat="1" ht="12.75">
      <c r="A13" s="2">
        <v>4</v>
      </c>
      <c r="B13" s="46" t="s">
        <v>30</v>
      </c>
      <c r="C13" s="47">
        <f t="shared" si="0"/>
        <v>3982.2000000000003</v>
      </c>
      <c r="D13" s="48">
        <f t="shared" si="0"/>
        <v>383.29999999999995</v>
      </c>
      <c r="E13" s="3">
        <f t="shared" si="1"/>
        <v>9.625332730651397</v>
      </c>
      <c r="F13" s="29">
        <f>J13+M13+P13+S13+V13+Y13+AB13+AE13+20</f>
        <v>600.9000000000001</v>
      </c>
      <c r="G13" s="3">
        <f>K13+N13+Q13+T13+W13+Z13+AC13+AF13+0.6</f>
        <v>67.39999999999999</v>
      </c>
      <c r="H13" s="3">
        <f t="shared" si="2"/>
        <v>11.216508570477615</v>
      </c>
      <c r="I13" s="3">
        <f t="shared" si="3"/>
        <v>64.3</v>
      </c>
      <c r="J13" s="29">
        <v>281.1</v>
      </c>
      <c r="K13" s="3">
        <v>61.8</v>
      </c>
      <c r="L13" s="3">
        <f t="shared" si="22"/>
        <v>21.98505869797225</v>
      </c>
      <c r="M13" s="29">
        <v>70</v>
      </c>
      <c r="N13" s="3">
        <v>0</v>
      </c>
      <c r="O13" s="3">
        <f t="shared" si="4"/>
        <v>0</v>
      </c>
      <c r="P13" s="29">
        <v>34.1</v>
      </c>
      <c r="Q13" s="3">
        <v>0.4</v>
      </c>
      <c r="R13" s="3">
        <f t="shared" si="5"/>
        <v>1.1730205278592376</v>
      </c>
      <c r="S13" s="29">
        <v>153.7</v>
      </c>
      <c r="T13" s="3">
        <v>2.1</v>
      </c>
      <c r="U13" s="3">
        <f t="shared" si="6"/>
        <v>1.36629798308393</v>
      </c>
      <c r="V13" s="29">
        <v>40</v>
      </c>
      <c r="W13" s="14">
        <v>2.5</v>
      </c>
      <c r="X13" s="3">
        <f t="shared" si="7"/>
        <v>6.25</v>
      </c>
      <c r="Y13" s="29">
        <v>0</v>
      </c>
      <c r="Z13" s="14">
        <v>0</v>
      </c>
      <c r="AA13" s="3" t="e">
        <f t="shared" si="8"/>
        <v>#DIV/0!</v>
      </c>
      <c r="AB13" s="29">
        <v>2</v>
      </c>
      <c r="AC13" s="3">
        <v>0</v>
      </c>
      <c r="AD13" s="3">
        <f t="shared" si="9"/>
        <v>0</v>
      </c>
      <c r="AE13" s="29">
        <v>0</v>
      </c>
      <c r="AF13" s="3">
        <v>0</v>
      </c>
      <c r="AG13" s="3" t="e">
        <f t="shared" si="10"/>
        <v>#DIV/0!</v>
      </c>
      <c r="AH13" s="29">
        <v>3381.3</v>
      </c>
      <c r="AI13" s="3">
        <v>315.9</v>
      </c>
      <c r="AJ13" s="3">
        <f>AI13/AH13*100</f>
        <v>9.342560553633216</v>
      </c>
      <c r="AK13" s="29">
        <v>1175.4</v>
      </c>
      <c r="AL13" s="3">
        <v>196.5</v>
      </c>
      <c r="AM13" s="3">
        <f t="shared" si="11"/>
        <v>16.71771311893823</v>
      </c>
      <c r="AN13" s="29">
        <v>672.8</v>
      </c>
      <c r="AO13" s="3">
        <v>54.5</v>
      </c>
      <c r="AP13" s="3">
        <f t="shared" si="12"/>
        <v>8.100475624256838</v>
      </c>
      <c r="AQ13" s="32">
        <v>4009.9</v>
      </c>
      <c r="AR13" s="4">
        <v>370.5</v>
      </c>
      <c r="AS13" s="3">
        <f t="shared" si="13"/>
        <v>9.239631911020224</v>
      </c>
      <c r="AT13" s="53">
        <v>637.7</v>
      </c>
      <c r="AU13" s="4">
        <v>66.3</v>
      </c>
      <c r="AV13" s="3">
        <f t="shared" si="14"/>
        <v>10.396738278187234</v>
      </c>
      <c r="AW13" s="51">
        <v>629</v>
      </c>
      <c r="AX13" s="4">
        <v>66.3</v>
      </c>
      <c r="AY13" s="3">
        <f t="shared" si="15"/>
        <v>10.54054054054054</v>
      </c>
      <c r="AZ13" s="32">
        <v>650.8</v>
      </c>
      <c r="BA13" s="6">
        <v>0</v>
      </c>
      <c r="BB13" s="14">
        <f t="shared" si="16"/>
        <v>0</v>
      </c>
      <c r="BC13" s="51">
        <v>191.9</v>
      </c>
      <c r="BD13" s="6">
        <v>11.2</v>
      </c>
      <c r="BE13" s="3">
        <f t="shared" si="17"/>
        <v>5.83637311099531</v>
      </c>
      <c r="BF13" s="51">
        <v>1373.6</v>
      </c>
      <c r="BG13" s="4">
        <v>289</v>
      </c>
      <c r="BH13" s="3">
        <f t="shared" si="18"/>
        <v>21.039603960396043</v>
      </c>
      <c r="BI13" s="49">
        <f t="shared" si="19"/>
        <v>-27.699999999999818</v>
      </c>
      <c r="BJ13" s="52">
        <f t="shared" si="20"/>
        <v>12.799999999999955</v>
      </c>
      <c r="BK13" s="3">
        <f t="shared" si="21"/>
        <v>-46.209386281588586</v>
      </c>
      <c r="BM13" s="20"/>
    </row>
    <row r="14" spans="1:65" s="18" customFormat="1" ht="12.75">
      <c r="A14" s="2">
        <v>5</v>
      </c>
      <c r="B14" s="46" t="s">
        <v>31</v>
      </c>
      <c r="C14" s="47">
        <f t="shared" si="0"/>
        <v>3558.8</v>
      </c>
      <c r="D14" s="48">
        <f t="shared" si="0"/>
        <v>403.1</v>
      </c>
      <c r="E14" s="3">
        <f t="shared" si="1"/>
        <v>11.32685174778015</v>
      </c>
      <c r="F14" s="29">
        <f>J14+M14+P14+S14+V14+Y14+AB14+AE14+10</f>
        <v>360.70000000000005</v>
      </c>
      <c r="G14" s="3">
        <f>K14+N14+Q14+T14+W14+Z14+AC14+AF14+4.4</f>
        <v>24.299999999999997</v>
      </c>
      <c r="H14" s="3">
        <f t="shared" si="2"/>
        <v>6.736900471305793</v>
      </c>
      <c r="I14" s="3">
        <f t="shared" si="3"/>
        <v>19.7</v>
      </c>
      <c r="J14" s="29">
        <v>149</v>
      </c>
      <c r="K14" s="3">
        <v>18.8</v>
      </c>
      <c r="L14" s="3">
        <f t="shared" si="22"/>
        <v>12.61744966442953</v>
      </c>
      <c r="M14" s="29">
        <v>45.9</v>
      </c>
      <c r="N14" s="3">
        <v>0</v>
      </c>
      <c r="O14" s="3">
        <f t="shared" si="4"/>
        <v>0</v>
      </c>
      <c r="P14" s="29">
        <v>47.7</v>
      </c>
      <c r="Q14" s="3">
        <v>0</v>
      </c>
      <c r="R14" s="3">
        <f t="shared" si="5"/>
        <v>0</v>
      </c>
      <c r="S14" s="29">
        <v>81.1</v>
      </c>
      <c r="T14" s="3">
        <v>0.9</v>
      </c>
      <c r="U14" s="3">
        <f t="shared" si="6"/>
        <v>1.1097410604192357</v>
      </c>
      <c r="V14" s="29">
        <v>25</v>
      </c>
      <c r="W14" s="14">
        <v>0.2</v>
      </c>
      <c r="X14" s="3">
        <f t="shared" si="7"/>
        <v>0.8</v>
      </c>
      <c r="Y14" s="29">
        <v>0</v>
      </c>
      <c r="Z14" s="14">
        <v>0</v>
      </c>
      <c r="AA14" s="3" t="e">
        <f t="shared" si="8"/>
        <v>#DIV/0!</v>
      </c>
      <c r="AB14" s="29">
        <v>2</v>
      </c>
      <c r="AC14" s="3">
        <v>0</v>
      </c>
      <c r="AD14" s="3">
        <f t="shared" si="9"/>
        <v>0</v>
      </c>
      <c r="AE14" s="29">
        <v>0</v>
      </c>
      <c r="AF14" s="3">
        <v>0</v>
      </c>
      <c r="AG14" s="3" t="e">
        <f t="shared" si="10"/>
        <v>#DIV/0!</v>
      </c>
      <c r="AH14" s="29">
        <v>3198.1</v>
      </c>
      <c r="AI14" s="3">
        <v>378.8</v>
      </c>
      <c r="AJ14" s="3">
        <f aca="true" t="shared" si="23" ref="AJ14:AJ28">AI14/AH14*100</f>
        <v>11.844532691285451</v>
      </c>
      <c r="AK14" s="29">
        <v>1306.3</v>
      </c>
      <c r="AL14" s="3">
        <v>218.4</v>
      </c>
      <c r="AM14" s="3">
        <f t="shared" si="11"/>
        <v>16.718977264028172</v>
      </c>
      <c r="AN14" s="29">
        <v>1179.1</v>
      </c>
      <c r="AO14" s="3">
        <v>95.5</v>
      </c>
      <c r="AP14" s="3">
        <f t="shared" si="12"/>
        <v>8.099397845814604</v>
      </c>
      <c r="AQ14" s="32">
        <v>3575.7</v>
      </c>
      <c r="AR14" s="4">
        <v>385</v>
      </c>
      <c r="AS14" s="3">
        <f t="shared" si="13"/>
        <v>10.76712252146433</v>
      </c>
      <c r="AT14" s="53">
        <v>596.3</v>
      </c>
      <c r="AU14" s="4">
        <v>71.2</v>
      </c>
      <c r="AV14" s="3">
        <f t="shared" si="14"/>
        <v>11.940298507462687</v>
      </c>
      <c r="AW14" s="51">
        <v>586.8</v>
      </c>
      <c r="AX14" s="4">
        <v>71.2</v>
      </c>
      <c r="AY14" s="3">
        <f t="shared" si="15"/>
        <v>12.133605998636675</v>
      </c>
      <c r="AZ14" s="32">
        <v>643.4</v>
      </c>
      <c r="BA14" s="6">
        <v>0</v>
      </c>
      <c r="BB14" s="14">
        <f t="shared" si="16"/>
        <v>0</v>
      </c>
      <c r="BC14" s="51">
        <v>152.2</v>
      </c>
      <c r="BD14" s="6">
        <v>20</v>
      </c>
      <c r="BE14" s="3">
        <f t="shared" si="17"/>
        <v>13.14060446780552</v>
      </c>
      <c r="BF14" s="51">
        <v>1792.3</v>
      </c>
      <c r="BG14" s="4">
        <v>290.9</v>
      </c>
      <c r="BH14" s="3">
        <f t="shared" si="18"/>
        <v>16.230541761981808</v>
      </c>
      <c r="BI14" s="49">
        <f t="shared" si="19"/>
        <v>-16.899999999999636</v>
      </c>
      <c r="BJ14" s="52">
        <f t="shared" si="20"/>
        <v>18.100000000000023</v>
      </c>
      <c r="BK14" s="3">
        <f t="shared" si="21"/>
        <v>-107.10059171597877</v>
      </c>
      <c r="BM14" s="20"/>
    </row>
    <row r="15" spans="1:65" s="18" customFormat="1" ht="13.5" customHeight="1">
      <c r="A15" s="2">
        <v>6</v>
      </c>
      <c r="B15" s="46" t="s">
        <v>32</v>
      </c>
      <c r="C15" s="47">
        <f t="shared" si="0"/>
        <v>4406.9</v>
      </c>
      <c r="D15" s="48">
        <f t="shared" si="0"/>
        <v>-3093.4</v>
      </c>
      <c r="E15" s="3">
        <f t="shared" si="1"/>
        <v>-70.19446776645715</v>
      </c>
      <c r="F15" s="29">
        <f>J15+M15+P15+S15+V15+Y15+AB15+AE15+11.9</f>
        <v>214.7</v>
      </c>
      <c r="G15" s="3">
        <f>K15+N15+Q15+T15+W15+Z15+AC15+AF15+1.2</f>
        <v>12.899999999999999</v>
      </c>
      <c r="H15" s="3">
        <f t="shared" si="2"/>
        <v>6.008383791336748</v>
      </c>
      <c r="I15" s="3">
        <f t="shared" si="3"/>
        <v>11.5</v>
      </c>
      <c r="J15" s="29">
        <v>82.5</v>
      </c>
      <c r="K15" s="3">
        <v>7.8</v>
      </c>
      <c r="L15" s="3">
        <f t="shared" si="22"/>
        <v>9.454545454545455</v>
      </c>
      <c r="M15" s="29">
        <v>0</v>
      </c>
      <c r="N15" s="3">
        <v>0</v>
      </c>
      <c r="O15" s="3" t="e">
        <f t="shared" si="4"/>
        <v>#DIV/0!</v>
      </c>
      <c r="P15" s="29">
        <v>52.2</v>
      </c>
      <c r="Q15" s="3">
        <v>0.1</v>
      </c>
      <c r="R15" s="3">
        <f t="shared" si="5"/>
        <v>0.19157088122605362</v>
      </c>
      <c r="S15" s="29">
        <v>61.1</v>
      </c>
      <c r="T15" s="3">
        <v>3.6</v>
      </c>
      <c r="U15" s="3">
        <f t="shared" si="6"/>
        <v>5.8919803600654665</v>
      </c>
      <c r="V15" s="29">
        <v>5</v>
      </c>
      <c r="W15" s="14">
        <v>0.2</v>
      </c>
      <c r="X15" s="3">
        <f t="shared" si="7"/>
        <v>4</v>
      </c>
      <c r="Y15" s="29">
        <v>0</v>
      </c>
      <c r="Z15" s="14">
        <v>0</v>
      </c>
      <c r="AA15" s="3" t="e">
        <f t="shared" si="8"/>
        <v>#DIV/0!</v>
      </c>
      <c r="AB15" s="29">
        <v>2</v>
      </c>
      <c r="AC15" s="3">
        <v>0</v>
      </c>
      <c r="AD15" s="3">
        <f t="shared" si="9"/>
        <v>0</v>
      </c>
      <c r="AE15" s="29">
        <v>0</v>
      </c>
      <c r="AF15" s="3">
        <v>0</v>
      </c>
      <c r="AG15" s="3" t="e">
        <f t="shared" si="10"/>
        <v>#DIV/0!</v>
      </c>
      <c r="AH15" s="29">
        <v>4192.2</v>
      </c>
      <c r="AI15" s="3">
        <v>-3106.3</v>
      </c>
      <c r="AJ15" s="3">
        <f t="shared" si="23"/>
        <v>-74.0971327703831</v>
      </c>
      <c r="AK15" s="29">
        <v>2183.4</v>
      </c>
      <c r="AL15" s="3">
        <v>365.1</v>
      </c>
      <c r="AM15" s="3">
        <f t="shared" si="11"/>
        <v>16.721626820555098</v>
      </c>
      <c r="AN15" s="29">
        <v>461.2</v>
      </c>
      <c r="AO15" s="3">
        <v>37.3</v>
      </c>
      <c r="AP15" s="3">
        <f t="shared" si="12"/>
        <v>8.087597571552472</v>
      </c>
      <c r="AQ15" s="32">
        <v>4406.9</v>
      </c>
      <c r="AR15" s="4">
        <v>442.8</v>
      </c>
      <c r="AS15" s="3">
        <f t="shared" si="13"/>
        <v>10.04787946175316</v>
      </c>
      <c r="AT15" s="53">
        <v>571</v>
      </c>
      <c r="AU15" s="4">
        <v>83.3</v>
      </c>
      <c r="AV15" s="3">
        <f t="shared" si="14"/>
        <v>14.588441330998247</v>
      </c>
      <c r="AW15" s="51">
        <v>562.3</v>
      </c>
      <c r="AX15" s="4">
        <v>83.3</v>
      </c>
      <c r="AY15" s="3">
        <f t="shared" si="15"/>
        <v>14.814156144406901</v>
      </c>
      <c r="AZ15" s="32">
        <v>875.2</v>
      </c>
      <c r="BA15" s="6">
        <v>0</v>
      </c>
      <c r="BB15" s="14">
        <f t="shared" si="16"/>
        <v>0</v>
      </c>
      <c r="BC15" s="51">
        <v>141.4</v>
      </c>
      <c r="BD15" s="6">
        <v>0</v>
      </c>
      <c r="BE15" s="3">
        <f t="shared" si="17"/>
        <v>0</v>
      </c>
      <c r="BF15" s="51">
        <v>1575.7</v>
      </c>
      <c r="BG15" s="4">
        <v>333.3</v>
      </c>
      <c r="BH15" s="3">
        <f t="shared" si="18"/>
        <v>21.1525036491718</v>
      </c>
      <c r="BI15" s="49">
        <f t="shared" si="19"/>
        <v>0</v>
      </c>
      <c r="BJ15" s="52">
        <f t="shared" si="20"/>
        <v>-3536.2000000000003</v>
      </c>
      <c r="BK15" s="3" t="e">
        <f t="shared" si="21"/>
        <v>#DIV/0!</v>
      </c>
      <c r="BM15" s="20"/>
    </row>
    <row r="16" spans="1:65" s="18" customFormat="1" ht="12.75">
      <c r="A16" s="2">
        <v>7</v>
      </c>
      <c r="B16" s="46" t="s">
        <v>33</v>
      </c>
      <c r="C16" s="47">
        <f t="shared" si="0"/>
        <v>3352.9</v>
      </c>
      <c r="D16" s="48">
        <f t="shared" si="0"/>
        <v>435.29999999999995</v>
      </c>
      <c r="E16" s="3">
        <f t="shared" si="1"/>
        <v>12.982791016731781</v>
      </c>
      <c r="F16" s="29">
        <f>J16+M16+P16+S16+V16+Y16+AB16+AE16+24</f>
        <v>208.1</v>
      </c>
      <c r="G16" s="3">
        <f>K16+N16+Q16+T16+W16+Z16+AC16+AF16+2.2</f>
        <v>7.9</v>
      </c>
      <c r="H16" s="3">
        <f t="shared" si="2"/>
        <v>3.7962518020182605</v>
      </c>
      <c r="I16" s="3">
        <f t="shared" si="3"/>
        <v>4.4</v>
      </c>
      <c r="J16" s="29">
        <v>64.7</v>
      </c>
      <c r="K16" s="3">
        <v>2.5</v>
      </c>
      <c r="L16" s="3">
        <f t="shared" si="22"/>
        <v>3.863987635239567</v>
      </c>
      <c r="M16" s="29">
        <v>2.8</v>
      </c>
      <c r="N16" s="3">
        <v>0</v>
      </c>
      <c r="O16" s="3">
        <f t="shared" si="4"/>
        <v>0</v>
      </c>
      <c r="P16" s="29">
        <v>43.6</v>
      </c>
      <c r="Q16" s="3">
        <v>1.4</v>
      </c>
      <c r="R16" s="3">
        <f t="shared" si="5"/>
        <v>3.211009174311926</v>
      </c>
      <c r="S16" s="29">
        <v>45</v>
      </c>
      <c r="T16" s="3">
        <v>0.5</v>
      </c>
      <c r="U16" s="3">
        <f t="shared" si="6"/>
        <v>1.1111111111111112</v>
      </c>
      <c r="V16" s="29">
        <v>26</v>
      </c>
      <c r="W16" s="14">
        <v>0</v>
      </c>
      <c r="X16" s="3">
        <f t="shared" si="7"/>
        <v>0</v>
      </c>
      <c r="Y16" s="29">
        <v>0</v>
      </c>
      <c r="Z16" s="14">
        <v>0</v>
      </c>
      <c r="AA16" s="3" t="e">
        <f t="shared" si="8"/>
        <v>#DIV/0!</v>
      </c>
      <c r="AB16" s="29">
        <v>2</v>
      </c>
      <c r="AC16" s="3">
        <v>1.3</v>
      </c>
      <c r="AD16" s="3">
        <f t="shared" si="9"/>
        <v>65</v>
      </c>
      <c r="AE16" s="29">
        <v>0</v>
      </c>
      <c r="AF16" s="3">
        <v>0</v>
      </c>
      <c r="AG16" s="3" t="e">
        <f t="shared" si="10"/>
        <v>#DIV/0!</v>
      </c>
      <c r="AH16" s="29">
        <v>3144.8</v>
      </c>
      <c r="AI16" s="3">
        <v>427.4</v>
      </c>
      <c r="AJ16" s="3">
        <f t="shared" si="23"/>
        <v>13.590689392012209</v>
      </c>
      <c r="AK16" s="29">
        <v>1820.3</v>
      </c>
      <c r="AL16" s="3">
        <v>304.4</v>
      </c>
      <c r="AM16" s="3">
        <f t="shared" si="11"/>
        <v>16.72251826621985</v>
      </c>
      <c r="AN16" s="29">
        <v>717.4</v>
      </c>
      <c r="AO16" s="3">
        <v>58.1</v>
      </c>
      <c r="AP16" s="3">
        <f t="shared" si="12"/>
        <v>8.098689712851966</v>
      </c>
      <c r="AQ16" s="32">
        <v>3362.7</v>
      </c>
      <c r="AR16" s="4">
        <v>394.7</v>
      </c>
      <c r="AS16" s="3">
        <f t="shared" si="13"/>
        <v>11.737591816100158</v>
      </c>
      <c r="AT16" s="53">
        <v>632.1</v>
      </c>
      <c r="AU16" s="4">
        <v>67.5</v>
      </c>
      <c r="AV16" s="3">
        <f t="shared" si="14"/>
        <v>10.678690080683435</v>
      </c>
      <c r="AW16" s="51">
        <v>622.6</v>
      </c>
      <c r="AX16" s="4">
        <v>67.5</v>
      </c>
      <c r="AY16" s="3">
        <f t="shared" si="15"/>
        <v>10.841631866366848</v>
      </c>
      <c r="AZ16" s="32">
        <v>1028.9</v>
      </c>
      <c r="BA16" s="6">
        <v>0</v>
      </c>
      <c r="BB16" s="14">
        <f t="shared" si="16"/>
        <v>0</v>
      </c>
      <c r="BC16" s="51">
        <v>125</v>
      </c>
      <c r="BD16" s="6">
        <v>13.8</v>
      </c>
      <c r="BE16" s="3">
        <f t="shared" si="17"/>
        <v>11.040000000000001</v>
      </c>
      <c r="BF16" s="51">
        <v>1499.2</v>
      </c>
      <c r="BG16" s="4">
        <v>309.3</v>
      </c>
      <c r="BH16" s="3">
        <f t="shared" si="18"/>
        <v>20.631003201707575</v>
      </c>
      <c r="BI16" s="49">
        <f t="shared" si="19"/>
        <v>-9.799999999999727</v>
      </c>
      <c r="BJ16" s="52">
        <f t="shared" si="20"/>
        <v>40.599999999999966</v>
      </c>
      <c r="BK16" s="3">
        <f t="shared" si="21"/>
        <v>-414.28571428572553</v>
      </c>
      <c r="BM16" s="20"/>
    </row>
    <row r="17" spans="1:65" s="18" customFormat="1" ht="12.75">
      <c r="A17" s="2">
        <v>8</v>
      </c>
      <c r="B17" s="46" t="s">
        <v>34</v>
      </c>
      <c r="C17" s="47">
        <f t="shared" si="0"/>
        <v>35392.9</v>
      </c>
      <c r="D17" s="48">
        <f t="shared" si="0"/>
        <v>1581.9999999999998</v>
      </c>
      <c r="E17" s="3">
        <f t="shared" si="1"/>
        <v>4.46982304360479</v>
      </c>
      <c r="F17" s="29">
        <f>J17+M17+P17+S17+V17+Y17+AB17+AE17+180</f>
        <v>19703.5</v>
      </c>
      <c r="G17" s="3">
        <f>K17+N17+Q17+T17+W17+Z17+AC17+AF17-278.6+3.2</f>
        <v>2642.7</v>
      </c>
      <c r="H17" s="3">
        <f t="shared" si="2"/>
        <v>13.412337909508462</v>
      </c>
      <c r="I17" s="3">
        <f t="shared" si="3"/>
        <v>2548.6</v>
      </c>
      <c r="J17" s="29">
        <v>12948.3</v>
      </c>
      <c r="K17" s="3">
        <v>1845.6</v>
      </c>
      <c r="L17" s="3">
        <f t="shared" si="22"/>
        <v>14.253608581821553</v>
      </c>
      <c r="M17" s="29">
        <v>109</v>
      </c>
      <c r="N17" s="3">
        <v>0</v>
      </c>
      <c r="O17" s="3">
        <f t="shared" si="4"/>
        <v>0</v>
      </c>
      <c r="P17" s="29">
        <v>590.6</v>
      </c>
      <c r="Q17" s="3">
        <v>9.7</v>
      </c>
      <c r="R17" s="3">
        <f t="shared" si="5"/>
        <v>1.6423975618015576</v>
      </c>
      <c r="S17" s="29">
        <v>3753.8</v>
      </c>
      <c r="T17" s="3">
        <v>693.3</v>
      </c>
      <c r="U17" s="3">
        <f t="shared" si="6"/>
        <v>18.46928445841547</v>
      </c>
      <c r="V17" s="29">
        <v>2113.8</v>
      </c>
      <c r="W17" s="14">
        <v>157.5</v>
      </c>
      <c r="X17" s="3">
        <f t="shared" si="7"/>
        <v>7.451036048822026</v>
      </c>
      <c r="Y17" s="29">
        <v>0</v>
      </c>
      <c r="Z17" s="14">
        <v>0</v>
      </c>
      <c r="AA17" s="3" t="e">
        <f t="shared" si="8"/>
        <v>#DIV/0!</v>
      </c>
      <c r="AB17" s="29">
        <v>8</v>
      </c>
      <c r="AC17" s="3">
        <v>212</v>
      </c>
      <c r="AD17" s="3">
        <f t="shared" si="9"/>
        <v>2650</v>
      </c>
      <c r="AE17" s="29">
        <v>0</v>
      </c>
      <c r="AF17" s="3">
        <v>0</v>
      </c>
      <c r="AG17" s="3" t="e">
        <f t="shared" si="10"/>
        <v>#DIV/0!</v>
      </c>
      <c r="AH17" s="29">
        <v>15689.4</v>
      </c>
      <c r="AI17" s="3">
        <v>-1060.7</v>
      </c>
      <c r="AJ17" s="3">
        <f t="shared" si="23"/>
        <v>-6.760615447372112</v>
      </c>
      <c r="AK17" s="29">
        <v>0</v>
      </c>
      <c r="AL17" s="3">
        <v>0</v>
      </c>
      <c r="AM17" s="3" t="e">
        <f t="shared" si="11"/>
        <v>#DIV/0!</v>
      </c>
      <c r="AN17" s="29">
        <v>0</v>
      </c>
      <c r="AO17" s="3">
        <v>0</v>
      </c>
      <c r="AP17" s="3" t="e">
        <f t="shared" si="12"/>
        <v>#DIV/0!</v>
      </c>
      <c r="AQ17" s="32">
        <v>36281.6</v>
      </c>
      <c r="AR17" s="4">
        <v>1021.1</v>
      </c>
      <c r="AS17" s="3">
        <f t="shared" si="13"/>
        <v>2.8143742282589526</v>
      </c>
      <c r="AT17" s="53">
        <v>3505.2</v>
      </c>
      <c r="AU17" s="4">
        <v>278</v>
      </c>
      <c r="AV17" s="3">
        <f t="shared" si="14"/>
        <v>7.931073833162159</v>
      </c>
      <c r="AW17" s="51">
        <v>3358.9</v>
      </c>
      <c r="AX17" s="4">
        <v>278</v>
      </c>
      <c r="AY17" s="3">
        <f t="shared" si="15"/>
        <v>8.276519098514393</v>
      </c>
      <c r="AZ17" s="32">
        <v>7008.8</v>
      </c>
      <c r="BA17" s="6">
        <v>68.5</v>
      </c>
      <c r="BB17" s="14">
        <f t="shared" si="16"/>
        <v>0.9773427690902864</v>
      </c>
      <c r="BC17" s="51">
        <v>8588</v>
      </c>
      <c r="BD17" s="6">
        <v>636.1</v>
      </c>
      <c r="BE17" s="3">
        <f t="shared" si="17"/>
        <v>7.406846762925012</v>
      </c>
      <c r="BF17" s="51">
        <v>0</v>
      </c>
      <c r="BG17" s="4">
        <v>0</v>
      </c>
      <c r="BH17" s="3" t="e">
        <f t="shared" si="18"/>
        <v>#DIV/0!</v>
      </c>
      <c r="BI17" s="49">
        <f t="shared" si="19"/>
        <v>-888.6999999999971</v>
      </c>
      <c r="BJ17" s="52">
        <f t="shared" si="20"/>
        <v>560.8999999999997</v>
      </c>
      <c r="BK17" s="3">
        <f t="shared" si="21"/>
        <v>-63.114661865646625</v>
      </c>
      <c r="BM17" s="20"/>
    </row>
    <row r="18" spans="1:65" s="18" customFormat="1" ht="12.75">
      <c r="A18" s="2">
        <v>9</v>
      </c>
      <c r="B18" s="46" t="s">
        <v>35</v>
      </c>
      <c r="C18" s="47">
        <f t="shared" si="0"/>
        <v>5571.5</v>
      </c>
      <c r="D18" s="48">
        <f t="shared" si="0"/>
        <v>652.0999999999999</v>
      </c>
      <c r="E18" s="3">
        <f t="shared" si="1"/>
        <v>11.704208920398456</v>
      </c>
      <c r="F18" s="29">
        <f>J18+M18+P18+S18+V18+Y18+AB18+AE18+21</f>
        <v>358.1</v>
      </c>
      <c r="G18" s="3">
        <f>K18+N18+Q18+T18+W18+Z18+AC18+AF18+2.4</f>
        <v>17.299999999999997</v>
      </c>
      <c r="H18" s="3">
        <f t="shared" si="2"/>
        <v>4.831052778553476</v>
      </c>
      <c r="I18" s="3">
        <f t="shared" si="3"/>
        <v>12.2</v>
      </c>
      <c r="J18" s="29">
        <v>138.5</v>
      </c>
      <c r="K18" s="3">
        <v>5</v>
      </c>
      <c r="L18" s="3">
        <f t="shared" si="22"/>
        <v>3.6101083032490973</v>
      </c>
      <c r="M18" s="29">
        <v>20</v>
      </c>
      <c r="N18" s="3">
        <v>0.1</v>
      </c>
      <c r="O18" s="3">
        <f t="shared" si="4"/>
        <v>0.5</v>
      </c>
      <c r="P18" s="29">
        <v>70.1</v>
      </c>
      <c r="Q18" s="3">
        <v>1</v>
      </c>
      <c r="R18" s="3">
        <f t="shared" si="5"/>
        <v>1.4265335235378032</v>
      </c>
      <c r="S18" s="29">
        <v>100.5</v>
      </c>
      <c r="T18" s="3">
        <v>6.1</v>
      </c>
      <c r="U18" s="3">
        <f t="shared" si="6"/>
        <v>6.069651741293533</v>
      </c>
      <c r="V18" s="29">
        <v>6</v>
      </c>
      <c r="W18" s="14">
        <v>2.7</v>
      </c>
      <c r="X18" s="3">
        <f t="shared" si="7"/>
        <v>45</v>
      </c>
      <c r="Y18" s="31">
        <v>0</v>
      </c>
      <c r="Z18" s="14">
        <v>0</v>
      </c>
      <c r="AA18" s="3" t="e">
        <f t="shared" si="8"/>
        <v>#DIV/0!</v>
      </c>
      <c r="AB18" s="29">
        <v>2</v>
      </c>
      <c r="AC18" s="3">
        <v>0</v>
      </c>
      <c r="AD18" s="3">
        <f t="shared" si="9"/>
        <v>0</v>
      </c>
      <c r="AE18" s="29">
        <v>0</v>
      </c>
      <c r="AF18" s="3">
        <v>0</v>
      </c>
      <c r="AG18" s="3" t="e">
        <f t="shared" si="10"/>
        <v>#DIV/0!</v>
      </c>
      <c r="AH18" s="29">
        <v>5213.4</v>
      </c>
      <c r="AI18" s="3">
        <v>634.8</v>
      </c>
      <c r="AJ18" s="3">
        <f t="shared" si="23"/>
        <v>12.176314880883876</v>
      </c>
      <c r="AK18" s="29">
        <v>1944.2</v>
      </c>
      <c r="AL18" s="3">
        <v>325.1</v>
      </c>
      <c r="AM18" s="3">
        <f t="shared" si="11"/>
        <v>16.721530706717417</v>
      </c>
      <c r="AN18" s="29">
        <v>2220.7</v>
      </c>
      <c r="AO18" s="3">
        <v>179.9</v>
      </c>
      <c r="AP18" s="3">
        <f t="shared" si="12"/>
        <v>8.10104921871482</v>
      </c>
      <c r="AQ18" s="32">
        <v>5613.2</v>
      </c>
      <c r="AR18" s="4">
        <v>527.9</v>
      </c>
      <c r="AS18" s="3">
        <f t="shared" si="13"/>
        <v>9.404617686880922</v>
      </c>
      <c r="AT18" s="53">
        <v>866.6</v>
      </c>
      <c r="AU18" s="4">
        <v>75.7</v>
      </c>
      <c r="AV18" s="3">
        <f t="shared" si="14"/>
        <v>8.7352873297946</v>
      </c>
      <c r="AW18" s="51">
        <v>833</v>
      </c>
      <c r="AX18" s="4">
        <v>50.7</v>
      </c>
      <c r="AY18" s="3">
        <f t="shared" si="15"/>
        <v>6.086434573829532</v>
      </c>
      <c r="AZ18" s="32">
        <v>840.6</v>
      </c>
      <c r="BA18" s="6">
        <v>0</v>
      </c>
      <c r="BB18" s="14">
        <f t="shared" si="16"/>
        <v>0</v>
      </c>
      <c r="BC18" s="51">
        <v>179</v>
      </c>
      <c r="BD18" s="6">
        <v>0</v>
      </c>
      <c r="BE18" s="3">
        <f t="shared" si="17"/>
        <v>0</v>
      </c>
      <c r="BF18" s="51">
        <v>2539.5</v>
      </c>
      <c r="BG18" s="4">
        <v>415</v>
      </c>
      <c r="BH18" s="3">
        <f t="shared" si="18"/>
        <v>16.341799566843868</v>
      </c>
      <c r="BI18" s="49">
        <f t="shared" si="19"/>
        <v>-41.69999999999982</v>
      </c>
      <c r="BJ18" s="52">
        <f t="shared" si="20"/>
        <v>124.19999999999993</v>
      </c>
      <c r="BK18" s="3">
        <f t="shared" si="21"/>
        <v>-297.84172661870616</v>
      </c>
      <c r="BM18" s="20"/>
    </row>
    <row r="19" spans="1:65" s="18" customFormat="1" ht="12.75" customHeight="1">
      <c r="A19" s="2">
        <v>10</v>
      </c>
      <c r="B19" s="46" t="s">
        <v>36</v>
      </c>
      <c r="C19" s="47">
        <f t="shared" si="0"/>
        <v>4133.6</v>
      </c>
      <c r="D19" s="48">
        <f t="shared" si="0"/>
        <v>593.3</v>
      </c>
      <c r="E19" s="3">
        <f t="shared" si="1"/>
        <v>14.353106251209596</v>
      </c>
      <c r="F19" s="29">
        <f>J19+M19+P19+S19+V19+Y19+AB19+AE19+8.6</f>
        <v>311</v>
      </c>
      <c r="G19" s="3">
        <f>K19+N19+Q19+T19+W19+Z19+AC19+AF19+1.4</f>
        <v>32.9</v>
      </c>
      <c r="H19" s="3">
        <f t="shared" si="2"/>
        <v>10.57877813504823</v>
      </c>
      <c r="I19" s="3">
        <f t="shared" si="3"/>
        <v>27.299999999999997</v>
      </c>
      <c r="J19" s="29">
        <v>126.5</v>
      </c>
      <c r="K19" s="3">
        <v>21.4</v>
      </c>
      <c r="L19" s="3">
        <f t="shared" si="22"/>
        <v>16.91699604743083</v>
      </c>
      <c r="M19" s="29">
        <v>6.5</v>
      </c>
      <c r="N19" s="3">
        <v>0</v>
      </c>
      <c r="O19" s="3">
        <f t="shared" si="4"/>
        <v>0</v>
      </c>
      <c r="P19" s="29">
        <v>74.9</v>
      </c>
      <c r="Q19" s="3">
        <v>2.4</v>
      </c>
      <c r="R19" s="3">
        <f t="shared" si="5"/>
        <v>3.204272363150867</v>
      </c>
      <c r="S19" s="29">
        <v>82.6</v>
      </c>
      <c r="T19" s="3">
        <v>3.5</v>
      </c>
      <c r="U19" s="3">
        <f t="shared" si="6"/>
        <v>4.237288135593221</v>
      </c>
      <c r="V19" s="29">
        <v>10</v>
      </c>
      <c r="W19" s="14">
        <v>4.2</v>
      </c>
      <c r="X19" s="3">
        <f t="shared" si="7"/>
        <v>42.00000000000001</v>
      </c>
      <c r="Y19" s="31">
        <v>0</v>
      </c>
      <c r="Z19" s="14">
        <v>0</v>
      </c>
      <c r="AA19" s="3" t="e">
        <f t="shared" si="8"/>
        <v>#DIV/0!</v>
      </c>
      <c r="AB19" s="29">
        <v>1.9</v>
      </c>
      <c r="AC19" s="3">
        <v>0</v>
      </c>
      <c r="AD19" s="3">
        <f t="shared" si="9"/>
        <v>0</v>
      </c>
      <c r="AE19" s="29">
        <v>0</v>
      </c>
      <c r="AF19" s="3">
        <v>0</v>
      </c>
      <c r="AG19" s="3" t="e">
        <f t="shared" si="10"/>
        <v>#DIV/0!</v>
      </c>
      <c r="AH19" s="29">
        <v>3822.6</v>
      </c>
      <c r="AI19" s="3">
        <v>560.4</v>
      </c>
      <c r="AJ19" s="3">
        <f t="shared" si="23"/>
        <v>14.660178935802856</v>
      </c>
      <c r="AK19" s="29">
        <v>2520.7</v>
      </c>
      <c r="AL19" s="3">
        <v>421.5</v>
      </c>
      <c r="AM19" s="3">
        <f t="shared" si="11"/>
        <v>16.72154560241203</v>
      </c>
      <c r="AN19" s="29">
        <v>112</v>
      </c>
      <c r="AO19" s="3">
        <v>9.1</v>
      </c>
      <c r="AP19" s="3">
        <f t="shared" si="12"/>
        <v>8.125</v>
      </c>
      <c r="AQ19" s="32">
        <v>4148</v>
      </c>
      <c r="AR19" s="4">
        <v>367</v>
      </c>
      <c r="AS19" s="3">
        <f t="shared" si="13"/>
        <v>8.847637415621987</v>
      </c>
      <c r="AT19" s="53">
        <v>607.5</v>
      </c>
      <c r="AU19" s="4">
        <v>76.7</v>
      </c>
      <c r="AV19" s="3">
        <f t="shared" si="14"/>
        <v>12.625514403292183</v>
      </c>
      <c r="AW19" s="51">
        <v>598.6</v>
      </c>
      <c r="AX19" s="4">
        <v>76.7</v>
      </c>
      <c r="AY19" s="3">
        <f t="shared" si="15"/>
        <v>12.813230872034747</v>
      </c>
      <c r="AZ19" s="32">
        <v>1063.4</v>
      </c>
      <c r="BA19" s="6">
        <v>0</v>
      </c>
      <c r="BB19" s="14">
        <f t="shared" si="16"/>
        <v>0</v>
      </c>
      <c r="BC19" s="51">
        <v>215.8</v>
      </c>
      <c r="BD19" s="6">
        <v>7.9</v>
      </c>
      <c r="BE19" s="3">
        <f t="shared" si="17"/>
        <v>3.66079703429101</v>
      </c>
      <c r="BF19" s="51">
        <v>1193.1</v>
      </c>
      <c r="BG19" s="4">
        <v>249.5</v>
      </c>
      <c r="BH19" s="3">
        <f t="shared" si="18"/>
        <v>20.911910150029335</v>
      </c>
      <c r="BI19" s="49">
        <f t="shared" si="19"/>
        <v>-14.399999999999636</v>
      </c>
      <c r="BJ19" s="52">
        <f t="shared" si="20"/>
        <v>226.29999999999995</v>
      </c>
      <c r="BK19" s="3">
        <f t="shared" si="21"/>
        <v>-1571.5277777778172</v>
      </c>
      <c r="BM19" s="20"/>
    </row>
    <row r="20" spans="1:65" s="18" customFormat="1" ht="12.75">
      <c r="A20" s="2">
        <v>11</v>
      </c>
      <c r="B20" s="46" t="s">
        <v>37</v>
      </c>
      <c r="C20" s="47">
        <f t="shared" si="0"/>
        <v>9601.5</v>
      </c>
      <c r="D20" s="48">
        <f t="shared" si="0"/>
        <v>931.1999999999999</v>
      </c>
      <c r="E20" s="3">
        <f t="shared" si="1"/>
        <v>9.69848461177941</v>
      </c>
      <c r="F20" s="29">
        <f>J20+M20+P20+S20+V20+Y20+AB20+AE20+16</f>
        <v>1788.3</v>
      </c>
      <c r="G20" s="3">
        <f>K20+N20+Q20+T20+W20+Z20+AC20+AF20+9+13.8</f>
        <v>198.4</v>
      </c>
      <c r="H20" s="3">
        <f>G20/F20*100</f>
        <v>11.094335402337416</v>
      </c>
      <c r="I20" s="3">
        <f t="shared" si="3"/>
        <v>145.6</v>
      </c>
      <c r="J20" s="29">
        <v>1236.8</v>
      </c>
      <c r="K20" s="3">
        <v>102.4</v>
      </c>
      <c r="L20" s="3">
        <f t="shared" si="22"/>
        <v>8.279430789133247</v>
      </c>
      <c r="M20" s="29">
        <v>7.5</v>
      </c>
      <c r="N20" s="3">
        <v>0</v>
      </c>
      <c r="O20" s="3">
        <f t="shared" si="4"/>
        <v>0</v>
      </c>
      <c r="P20" s="29">
        <v>77</v>
      </c>
      <c r="Q20" s="3">
        <v>0.1</v>
      </c>
      <c r="R20" s="3">
        <f t="shared" si="5"/>
        <v>0.12987012987012986</v>
      </c>
      <c r="S20" s="29">
        <v>369</v>
      </c>
      <c r="T20" s="3">
        <v>43.1</v>
      </c>
      <c r="U20" s="3">
        <f t="shared" si="6"/>
        <v>11.680216802168022</v>
      </c>
      <c r="V20" s="29">
        <v>80</v>
      </c>
      <c r="W20" s="14">
        <v>4.7</v>
      </c>
      <c r="X20" s="3">
        <f t="shared" si="7"/>
        <v>5.875</v>
      </c>
      <c r="Y20" s="29">
        <v>0</v>
      </c>
      <c r="Z20" s="14">
        <v>0</v>
      </c>
      <c r="AA20" s="3" t="e">
        <f t="shared" si="8"/>
        <v>#DIV/0!</v>
      </c>
      <c r="AB20" s="29">
        <v>2</v>
      </c>
      <c r="AC20" s="3">
        <v>25.3</v>
      </c>
      <c r="AD20" s="3">
        <f t="shared" si="9"/>
        <v>1265</v>
      </c>
      <c r="AE20" s="29">
        <v>0</v>
      </c>
      <c r="AF20" s="3">
        <v>0</v>
      </c>
      <c r="AG20" s="3" t="e">
        <f t="shared" si="10"/>
        <v>#DIV/0!</v>
      </c>
      <c r="AH20" s="29">
        <v>7813.2</v>
      </c>
      <c r="AI20" s="3">
        <v>732.8</v>
      </c>
      <c r="AJ20" s="3">
        <f t="shared" si="23"/>
        <v>9.37899964163211</v>
      </c>
      <c r="AK20" s="29">
        <v>3357.4</v>
      </c>
      <c r="AL20" s="3">
        <v>561.3</v>
      </c>
      <c r="AM20" s="3">
        <f t="shared" si="11"/>
        <v>16.718293917912668</v>
      </c>
      <c r="AN20" s="29">
        <v>513.7</v>
      </c>
      <c r="AO20" s="3">
        <v>41.6</v>
      </c>
      <c r="AP20" s="3">
        <f t="shared" si="12"/>
        <v>8.098111738368697</v>
      </c>
      <c r="AQ20" s="32">
        <v>9680.7</v>
      </c>
      <c r="AR20" s="4">
        <v>772.3</v>
      </c>
      <c r="AS20" s="3">
        <f t="shared" si="13"/>
        <v>7.977728883241913</v>
      </c>
      <c r="AT20" s="53">
        <v>1133.1</v>
      </c>
      <c r="AU20" s="4">
        <v>150</v>
      </c>
      <c r="AV20" s="3">
        <f t="shared" si="14"/>
        <v>13.238019592268998</v>
      </c>
      <c r="AW20" s="51">
        <v>1114.8</v>
      </c>
      <c r="AX20" s="4">
        <v>150</v>
      </c>
      <c r="AY20" s="3">
        <f t="shared" si="15"/>
        <v>13.455328310010763</v>
      </c>
      <c r="AZ20" s="33">
        <v>2620.2</v>
      </c>
      <c r="BA20" s="6">
        <v>0</v>
      </c>
      <c r="BB20" s="14">
        <f t="shared" si="16"/>
        <v>0</v>
      </c>
      <c r="BC20" s="51">
        <v>786.5</v>
      </c>
      <c r="BD20" s="6">
        <v>0</v>
      </c>
      <c r="BE20" s="3">
        <f t="shared" si="17"/>
        <v>0</v>
      </c>
      <c r="BF20" s="51">
        <v>2784.7</v>
      </c>
      <c r="BG20" s="4">
        <v>591.1</v>
      </c>
      <c r="BH20" s="3">
        <f t="shared" si="18"/>
        <v>21.22670305598449</v>
      </c>
      <c r="BI20" s="49">
        <f t="shared" si="19"/>
        <v>-79.20000000000073</v>
      </c>
      <c r="BJ20" s="52">
        <f t="shared" si="20"/>
        <v>158.89999999999998</v>
      </c>
      <c r="BK20" s="3">
        <f t="shared" si="21"/>
        <v>-200.63131313131123</v>
      </c>
      <c r="BM20" s="20"/>
    </row>
    <row r="21" spans="1:65" s="18" customFormat="1" ht="12.75">
      <c r="A21" s="2">
        <v>12</v>
      </c>
      <c r="B21" s="46" t="s">
        <v>38</v>
      </c>
      <c r="C21" s="47">
        <f t="shared" si="0"/>
        <v>3514</v>
      </c>
      <c r="D21" s="48">
        <f t="shared" si="0"/>
        <v>448.9</v>
      </c>
      <c r="E21" s="3">
        <f t="shared" si="1"/>
        <v>12.774615822424588</v>
      </c>
      <c r="F21" s="29">
        <f>J21+M21+P21+S21+V21+Y21+AB21+AE21+3</f>
        <v>193.89999999999998</v>
      </c>
      <c r="G21" s="3">
        <f>K21+N21+Q21+T21+W21+Z21+AC21+AF21+0.7</f>
        <v>62.70000000000001</v>
      </c>
      <c r="H21" s="3">
        <f t="shared" si="2"/>
        <v>32.33625580195979</v>
      </c>
      <c r="I21" s="3">
        <f t="shared" si="3"/>
        <v>44.2</v>
      </c>
      <c r="J21" s="29">
        <v>105.1</v>
      </c>
      <c r="K21" s="3">
        <v>42.2</v>
      </c>
      <c r="L21" s="3">
        <f t="shared" si="22"/>
        <v>40.15223596574691</v>
      </c>
      <c r="M21" s="29">
        <v>4.8</v>
      </c>
      <c r="N21" s="3">
        <v>0</v>
      </c>
      <c r="O21" s="3">
        <f t="shared" si="4"/>
        <v>0</v>
      </c>
      <c r="P21" s="29">
        <v>28.7</v>
      </c>
      <c r="Q21" s="3">
        <v>0.3</v>
      </c>
      <c r="R21" s="3">
        <f t="shared" si="5"/>
        <v>1.0452961672473866</v>
      </c>
      <c r="S21" s="29">
        <v>42.3</v>
      </c>
      <c r="T21" s="3">
        <v>1.7</v>
      </c>
      <c r="U21" s="3">
        <f t="shared" si="6"/>
        <v>4.0189125295508275</v>
      </c>
      <c r="V21" s="29">
        <v>8</v>
      </c>
      <c r="W21" s="14">
        <v>16.1</v>
      </c>
      <c r="X21" s="3">
        <f t="shared" si="7"/>
        <v>201.25000000000003</v>
      </c>
      <c r="Y21" s="31">
        <v>0</v>
      </c>
      <c r="Z21" s="14">
        <v>0</v>
      </c>
      <c r="AA21" s="3" t="e">
        <f t="shared" si="8"/>
        <v>#DIV/0!</v>
      </c>
      <c r="AB21" s="29">
        <v>2</v>
      </c>
      <c r="AC21" s="3">
        <v>1.7</v>
      </c>
      <c r="AD21" s="3">
        <f t="shared" si="9"/>
        <v>85</v>
      </c>
      <c r="AE21" s="29">
        <v>0</v>
      </c>
      <c r="AF21" s="3">
        <v>0</v>
      </c>
      <c r="AG21" s="3" t="e">
        <f t="shared" si="10"/>
        <v>#DIV/0!</v>
      </c>
      <c r="AH21" s="29">
        <v>3320.1</v>
      </c>
      <c r="AI21" s="3">
        <v>386.2</v>
      </c>
      <c r="AJ21" s="3">
        <f t="shared" si="23"/>
        <v>11.632179753621879</v>
      </c>
      <c r="AK21" s="29">
        <v>1147.2</v>
      </c>
      <c r="AL21" s="3">
        <v>191.8</v>
      </c>
      <c r="AM21" s="3">
        <f t="shared" si="11"/>
        <v>16.718967921896795</v>
      </c>
      <c r="AN21" s="29">
        <v>1597.9</v>
      </c>
      <c r="AO21" s="3">
        <v>129.4</v>
      </c>
      <c r="AP21" s="3">
        <f t="shared" si="12"/>
        <v>8.09812879404218</v>
      </c>
      <c r="AQ21" s="32">
        <v>3522.8</v>
      </c>
      <c r="AR21" s="4">
        <v>425.2</v>
      </c>
      <c r="AS21" s="3">
        <f t="shared" si="13"/>
        <v>12.069944362438969</v>
      </c>
      <c r="AT21" s="53">
        <v>559.7</v>
      </c>
      <c r="AU21" s="4">
        <v>71.8</v>
      </c>
      <c r="AV21" s="3">
        <f t="shared" si="14"/>
        <v>12.828300875469</v>
      </c>
      <c r="AW21" s="51">
        <v>551.6</v>
      </c>
      <c r="AX21" s="4">
        <v>71.8</v>
      </c>
      <c r="AY21" s="3">
        <f t="shared" si="15"/>
        <v>13.01667875271936</v>
      </c>
      <c r="AZ21" s="32">
        <v>508.7</v>
      </c>
      <c r="BA21" s="6">
        <v>0</v>
      </c>
      <c r="BB21" s="14">
        <f t="shared" si="16"/>
        <v>0</v>
      </c>
      <c r="BC21" s="51">
        <v>152.2</v>
      </c>
      <c r="BD21" s="6">
        <v>4.1</v>
      </c>
      <c r="BE21" s="3">
        <f t="shared" si="17"/>
        <v>2.6938239159001314</v>
      </c>
      <c r="BF21" s="51">
        <v>1670</v>
      </c>
      <c r="BG21" s="4">
        <v>318.2</v>
      </c>
      <c r="BH21" s="3">
        <f t="shared" si="18"/>
        <v>19.05389221556886</v>
      </c>
      <c r="BI21" s="49">
        <f t="shared" si="19"/>
        <v>-8.800000000000182</v>
      </c>
      <c r="BJ21" s="52">
        <f t="shared" si="20"/>
        <v>23.69999999999999</v>
      </c>
      <c r="BK21" s="3">
        <f t="shared" si="21"/>
        <v>-269.31818181817613</v>
      </c>
      <c r="BM21" s="20"/>
    </row>
    <row r="22" spans="1:65" s="18" customFormat="1" ht="12.75">
      <c r="A22" s="2">
        <v>13</v>
      </c>
      <c r="B22" s="46" t="s">
        <v>39</v>
      </c>
      <c r="C22" s="47">
        <f t="shared" si="0"/>
        <v>6958</v>
      </c>
      <c r="D22" s="48">
        <f t="shared" si="0"/>
        <v>566.6</v>
      </c>
      <c r="E22" s="3">
        <f t="shared" si="1"/>
        <v>8.143144581776372</v>
      </c>
      <c r="F22" s="29">
        <f>J22+M22+P22+S22+V22+Y22+AB22+AE22+20</f>
        <v>351</v>
      </c>
      <c r="G22" s="3">
        <f>K22+N22+Q22+T22+W22+Z22+AC22+AF22+1.2</f>
        <v>23.2</v>
      </c>
      <c r="H22" s="3">
        <f t="shared" si="2"/>
        <v>6.609686609686609</v>
      </c>
      <c r="I22" s="3">
        <f t="shared" si="3"/>
        <v>12.3</v>
      </c>
      <c r="J22" s="29">
        <v>120.6</v>
      </c>
      <c r="K22" s="3">
        <v>10.3</v>
      </c>
      <c r="L22" s="3">
        <f t="shared" si="22"/>
        <v>8.540630182421229</v>
      </c>
      <c r="M22" s="29">
        <v>14.5</v>
      </c>
      <c r="N22" s="3">
        <v>0.8</v>
      </c>
      <c r="O22" s="3">
        <f t="shared" si="4"/>
        <v>5.517241379310345</v>
      </c>
      <c r="P22" s="29">
        <v>54.5</v>
      </c>
      <c r="Q22" s="3">
        <v>0.2</v>
      </c>
      <c r="R22" s="3">
        <f t="shared" si="5"/>
        <v>0.3669724770642202</v>
      </c>
      <c r="S22" s="29">
        <v>109.4</v>
      </c>
      <c r="T22" s="3">
        <v>1</v>
      </c>
      <c r="U22" s="3">
        <f t="shared" si="6"/>
        <v>0.9140767824497258</v>
      </c>
      <c r="V22" s="29">
        <v>30</v>
      </c>
      <c r="W22" s="14">
        <v>8.3</v>
      </c>
      <c r="X22" s="3">
        <f t="shared" si="7"/>
        <v>27.666666666666668</v>
      </c>
      <c r="Y22" s="31">
        <v>0</v>
      </c>
      <c r="Z22" s="14">
        <v>0</v>
      </c>
      <c r="AA22" s="3" t="e">
        <f t="shared" si="8"/>
        <v>#DIV/0!</v>
      </c>
      <c r="AB22" s="29">
        <v>2</v>
      </c>
      <c r="AC22" s="3">
        <v>1.4</v>
      </c>
      <c r="AD22" s="3">
        <f t="shared" si="9"/>
        <v>70</v>
      </c>
      <c r="AE22" s="29">
        <v>0</v>
      </c>
      <c r="AF22" s="3">
        <v>0</v>
      </c>
      <c r="AG22" s="3" t="e">
        <f t="shared" si="10"/>
        <v>#DIV/0!</v>
      </c>
      <c r="AH22" s="29">
        <v>6607</v>
      </c>
      <c r="AI22" s="3">
        <v>543.4</v>
      </c>
      <c r="AJ22" s="3">
        <f t="shared" si="23"/>
        <v>8.224610261843498</v>
      </c>
      <c r="AK22" s="29">
        <v>2416.8</v>
      </c>
      <c r="AL22" s="3">
        <v>404.1</v>
      </c>
      <c r="AM22" s="3">
        <f t="shared" si="11"/>
        <v>16.720456802383314</v>
      </c>
      <c r="AN22" s="29">
        <v>919.08</v>
      </c>
      <c r="AO22" s="3">
        <v>74.4</v>
      </c>
      <c r="AP22" s="3">
        <f t="shared" si="12"/>
        <v>8.095051573312444</v>
      </c>
      <c r="AQ22" s="32">
        <v>6974.6</v>
      </c>
      <c r="AR22" s="4">
        <v>487.1</v>
      </c>
      <c r="AS22" s="3">
        <f t="shared" si="13"/>
        <v>6.983913055945861</v>
      </c>
      <c r="AT22" s="53">
        <v>732.6</v>
      </c>
      <c r="AU22" s="4">
        <v>97.4</v>
      </c>
      <c r="AV22" s="3">
        <f t="shared" si="14"/>
        <v>13.295113295113294</v>
      </c>
      <c r="AW22" s="51">
        <v>723.2</v>
      </c>
      <c r="AX22" s="4">
        <v>97.4</v>
      </c>
      <c r="AY22" s="3">
        <f t="shared" si="15"/>
        <v>13.467920353982302</v>
      </c>
      <c r="AZ22" s="32">
        <v>1104.4</v>
      </c>
      <c r="BA22" s="6">
        <v>20</v>
      </c>
      <c r="BB22" s="14">
        <f t="shared" si="16"/>
        <v>1.8109380659181453</v>
      </c>
      <c r="BC22" s="51">
        <v>2342.9</v>
      </c>
      <c r="BD22" s="6">
        <v>0</v>
      </c>
      <c r="BE22" s="3">
        <f t="shared" si="17"/>
        <v>0</v>
      </c>
      <c r="BF22" s="51">
        <v>1895.2</v>
      </c>
      <c r="BG22" s="4">
        <v>340.5</v>
      </c>
      <c r="BH22" s="3">
        <f t="shared" si="18"/>
        <v>17.966441536513297</v>
      </c>
      <c r="BI22" s="49">
        <f t="shared" si="19"/>
        <v>-16.600000000000364</v>
      </c>
      <c r="BJ22" s="52">
        <f t="shared" si="20"/>
        <v>79.5</v>
      </c>
      <c r="BK22" s="3">
        <f t="shared" si="21"/>
        <v>-478.9156626505919</v>
      </c>
      <c r="BM22" s="20"/>
    </row>
    <row r="23" spans="1:65" s="18" customFormat="1" ht="12.75">
      <c r="A23" s="2">
        <v>14</v>
      </c>
      <c r="B23" s="46" t="s">
        <v>40</v>
      </c>
      <c r="C23" s="47">
        <f t="shared" si="0"/>
        <v>4606.2</v>
      </c>
      <c r="D23" s="48">
        <f>G23+AI23</f>
        <v>441.1</v>
      </c>
      <c r="E23" s="3">
        <f t="shared" si="1"/>
        <v>9.576223351135427</v>
      </c>
      <c r="F23" s="29">
        <f>J23+M23+P23+S23+V23+Y23+AB23+AE23+17</f>
        <v>243.9</v>
      </c>
      <c r="G23" s="3">
        <f>K23+N23+Q23+T23+W23+Z23+AC23+AF23+1.1+19.6</f>
        <v>32.400000000000006</v>
      </c>
      <c r="H23" s="3">
        <f>G23/F23*100</f>
        <v>13.284132841328416</v>
      </c>
      <c r="I23" s="3">
        <f t="shared" si="3"/>
        <v>10.8</v>
      </c>
      <c r="J23" s="29">
        <v>79.1</v>
      </c>
      <c r="K23" s="3">
        <v>8.3</v>
      </c>
      <c r="L23" s="3">
        <f t="shared" si="22"/>
        <v>10.49304677623262</v>
      </c>
      <c r="M23" s="29">
        <v>3.4</v>
      </c>
      <c r="N23" s="3">
        <v>0</v>
      </c>
      <c r="O23" s="3">
        <f t="shared" si="4"/>
        <v>0</v>
      </c>
      <c r="P23" s="29">
        <v>40.9</v>
      </c>
      <c r="Q23" s="3">
        <v>0.1</v>
      </c>
      <c r="R23" s="3">
        <f t="shared" si="5"/>
        <v>0.2444987775061125</v>
      </c>
      <c r="S23" s="29">
        <v>93.5</v>
      </c>
      <c r="T23" s="3">
        <v>2.4</v>
      </c>
      <c r="U23" s="3">
        <f t="shared" si="6"/>
        <v>2.5668449197860963</v>
      </c>
      <c r="V23" s="29">
        <v>8</v>
      </c>
      <c r="W23" s="14">
        <v>0.9</v>
      </c>
      <c r="X23" s="3">
        <f t="shared" si="7"/>
        <v>11.25</v>
      </c>
      <c r="Y23" s="31">
        <v>0</v>
      </c>
      <c r="Z23" s="14">
        <v>0</v>
      </c>
      <c r="AA23" s="3" t="e">
        <f t="shared" si="8"/>
        <v>#DIV/0!</v>
      </c>
      <c r="AB23" s="29">
        <v>2</v>
      </c>
      <c r="AC23" s="3">
        <v>0</v>
      </c>
      <c r="AD23" s="3">
        <f t="shared" si="9"/>
        <v>0</v>
      </c>
      <c r="AE23" s="29">
        <v>0</v>
      </c>
      <c r="AF23" s="3">
        <v>0</v>
      </c>
      <c r="AG23" s="3" t="e">
        <f t="shared" si="10"/>
        <v>#DIV/0!</v>
      </c>
      <c r="AH23" s="29">
        <v>4362.3</v>
      </c>
      <c r="AI23" s="3">
        <v>408.7</v>
      </c>
      <c r="AJ23" s="3">
        <f t="shared" si="23"/>
        <v>9.368910895628451</v>
      </c>
      <c r="AK23" s="29">
        <v>1577.9</v>
      </c>
      <c r="AL23" s="3">
        <v>263.8</v>
      </c>
      <c r="AM23" s="3">
        <f t="shared" si="11"/>
        <v>16.718423220736423</v>
      </c>
      <c r="AN23" s="29">
        <v>986.5</v>
      </c>
      <c r="AO23" s="3">
        <v>79.9</v>
      </c>
      <c r="AP23" s="3">
        <f t="shared" si="12"/>
        <v>8.099341104916371</v>
      </c>
      <c r="AQ23" s="32">
        <v>4617.6</v>
      </c>
      <c r="AR23" s="4">
        <v>394</v>
      </c>
      <c r="AS23" s="3">
        <f t="shared" si="13"/>
        <v>8.532571032571031</v>
      </c>
      <c r="AT23" s="53">
        <v>655.4</v>
      </c>
      <c r="AU23" s="4">
        <v>69.2</v>
      </c>
      <c r="AV23" s="3">
        <f t="shared" si="14"/>
        <v>10.558437595361612</v>
      </c>
      <c r="AW23" s="51">
        <v>647.3</v>
      </c>
      <c r="AX23" s="4">
        <v>69.2</v>
      </c>
      <c r="AY23" s="3">
        <f t="shared" si="15"/>
        <v>10.69056079097791</v>
      </c>
      <c r="AZ23" s="32">
        <v>715.1</v>
      </c>
      <c r="BA23" s="6">
        <v>0</v>
      </c>
      <c r="BB23" s="14">
        <f t="shared" si="16"/>
        <v>0</v>
      </c>
      <c r="BC23" s="51">
        <v>116.6</v>
      </c>
      <c r="BD23" s="6">
        <v>10.1</v>
      </c>
      <c r="BE23" s="3">
        <f t="shared" si="17"/>
        <v>8.662092624356776</v>
      </c>
      <c r="BF23" s="51">
        <v>1583.1</v>
      </c>
      <c r="BG23" s="4">
        <v>308.8</v>
      </c>
      <c r="BH23" s="3">
        <f t="shared" si="18"/>
        <v>19.506032467942646</v>
      </c>
      <c r="BI23" s="49">
        <f t="shared" si="19"/>
        <v>-11.400000000000546</v>
      </c>
      <c r="BJ23" s="52">
        <f t="shared" si="20"/>
        <v>47.10000000000002</v>
      </c>
      <c r="BK23" s="3">
        <f t="shared" si="21"/>
        <v>-413.15789473682247</v>
      </c>
      <c r="BM23" s="20"/>
    </row>
    <row r="24" spans="1:65" s="18" customFormat="1" ht="12.75">
      <c r="A24" s="2">
        <v>15</v>
      </c>
      <c r="B24" s="46" t="s">
        <v>41</v>
      </c>
      <c r="C24" s="47">
        <f t="shared" si="0"/>
        <v>4073.8</v>
      </c>
      <c r="D24" s="48">
        <f>G24+AI24</f>
        <v>424.70000000000005</v>
      </c>
      <c r="E24" s="3">
        <f t="shared" si="1"/>
        <v>10.42515587412244</v>
      </c>
      <c r="F24" s="29">
        <f>J24+M24+P24+S24+V24+Y24+AB24+AE24+8</f>
        <v>402.4</v>
      </c>
      <c r="G24" s="3">
        <f>K24+N24+Q24+T24+W24+Z24+AC24+AF24+0.3+3.4</f>
        <v>35.1</v>
      </c>
      <c r="H24" s="3">
        <f>G24/F24*100</f>
        <v>8.722664015904574</v>
      </c>
      <c r="I24" s="3">
        <f t="shared" si="3"/>
        <v>31.299999999999997</v>
      </c>
      <c r="J24" s="29">
        <v>167.7</v>
      </c>
      <c r="K24" s="3">
        <v>23</v>
      </c>
      <c r="L24" s="3">
        <f t="shared" si="22"/>
        <v>13.714967203339299</v>
      </c>
      <c r="M24" s="29">
        <v>57.5</v>
      </c>
      <c r="N24" s="3">
        <v>0</v>
      </c>
      <c r="O24" s="3">
        <f t="shared" si="4"/>
        <v>0</v>
      </c>
      <c r="P24" s="29">
        <v>47.7</v>
      </c>
      <c r="Q24" s="3">
        <v>0.2</v>
      </c>
      <c r="R24" s="3">
        <f t="shared" si="5"/>
        <v>0.41928721174004197</v>
      </c>
      <c r="S24" s="29">
        <v>100.5</v>
      </c>
      <c r="T24" s="3">
        <v>8.1</v>
      </c>
      <c r="U24" s="3">
        <f t="shared" si="6"/>
        <v>8.059701492537313</v>
      </c>
      <c r="V24" s="29">
        <v>18</v>
      </c>
      <c r="W24" s="14">
        <v>0.1</v>
      </c>
      <c r="X24" s="3">
        <f t="shared" si="7"/>
        <v>0.5555555555555556</v>
      </c>
      <c r="Y24" s="31">
        <v>0</v>
      </c>
      <c r="Z24" s="14">
        <v>0</v>
      </c>
      <c r="AA24" s="3" t="e">
        <f t="shared" si="8"/>
        <v>#DIV/0!</v>
      </c>
      <c r="AB24" s="29">
        <v>3</v>
      </c>
      <c r="AC24" s="3">
        <v>0</v>
      </c>
      <c r="AD24" s="3">
        <f t="shared" si="9"/>
        <v>0</v>
      </c>
      <c r="AE24" s="29">
        <v>0</v>
      </c>
      <c r="AF24" s="3">
        <v>0</v>
      </c>
      <c r="AG24" s="3" t="e">
        <f t="shared" si="10"/>
        <v>#DIV/0!</v>
      </c>
      <c r="AH24" s="29">
        <v>3671.4</v>
      </c>
      <c r="AI24" s="3">
        <v>389.6</v>
      </c>
      <c r="AJ24" s="3">
        <f t="shared" si="23"/>
        <v>10.611755733507653</v>
      </c>
      <c r="AK24" s="29">
        <v>1184.1</v>
      </c>
      <c r="AL24" s="3">
        <v>198</v>
      </c>
      <c r="AM24" s="3">
        <f t="shared" si="11"/>
        <v>16.72156067899671</v>
      </c>
      <c r="AN24" s="29">
        <v>1563.8</v>
      </c>
      <c r="AO24" s="3">
        <v>126.7</v>
      </c>
      <c r="AP24" s="3">
        <f t="shared" si="12"/>
        <v>8.10205908683975</v>
      </c>
      <c r="AQ24" s="32">
        <v>4148.5</v>
      </c>
      <c r="AR24" s="4">
        <v>403.4</v>
      </c>
      <c r="AS24" s="3">
        <f t="shared" si="13"/>
        <v>9.723996625286247</v>
      </c>
      <c r="AT24" s="53">
        <v>673</v>
      </c>
      <c r="AU24" s="4">
        <v>136.7</v>
      </c>
      <c r="AV24" s="3">
        <f t="shared" si="14"/>
        <v>20.312035661218424</v>
      </c>
      <c r="AW24" s="51">
        <v>583.3</v>
      </c>
      <c r="AX24" s="4">
        <v>55.6</v>
      </c>
      <c r="AY24" s="3">
        <f t="shared" si="15"/>
        <v>9.531973255614608</v>
      </c>
      <c r="AZ24" s="32">
        <v>910.6</v>
      </c>
      <c r="BA24" s="6">
        <v>0</v>
      </c>
      <c r="BB24" s="14">
        <f t="shared" si="16"/>
        <v>0</v>
      </c>
      <c r="BC24" s="51">
        <v>205.7</v>
      </c>
      <c r="BD24" s="6">
        <v>0</v>
      </c>
      <c r="BE24" s="3">
        <f t="shared" si="17"/>
        <v>0</v>
      </c>
      <c r="BF24" s="51">
        <v>1311.6</v>
      </c>
      <c r="BG24" s="4">
        <v>263.6</v>
      </c>
      <c r="BH24" s="3">
        <f t="shared" si="18"/>
        <v>20.09759072888076</v>
      </c>
      <c r="BI24" s="49">
        <f t="shared" si="19"/>
        <v>-74.69999999999982</v>
      </c>
      <c r="BJ24" s="52">
        <f t="shared" si="20"/>
        <v>21.300000000000068</v>
      </c>
      <c r="BK24" s="3">
        <f t="shared" si="21"/>
        <v>-28.514056224899758</v>
      </c>
      <c r="BM24" s="20"/>
    </row>
    <row r="25" spans="1:65" s="18" customFormat="1" ht="12.75">
      <c r="A25" s="2">
        <v>16</v>
      </c>
      <c r="B25" s="46" t="s">
        <v>42</v>
      </c>
      <c r="C25" s="47">
        <f t="shared" si="0"/>
        <v>2453.2999999999997</v>
      </c>
      <c r="D25" s="48">
        <f t="shared" si="0"/>
        <v>321.9</v>
      </c>
      <c r="E25" s="3">
        <f t="shared" si="1"/>
        <v>13.121102188888436</v>
      </c>
      <c r="F25" s="29">
        <f>J25+M25+P25+S25+V25+Y25+AB25+AE25+6.6</f>
        <v>521.1999999999999</v>
      </c>
      <c r="G25" s="3">
        <f>K25+N25+Q25+T25+W25+Z25+AC25+AF25+1.4+11.2</f>
        <v>62</v>
      </c>
      <c r="H25" s="3">
        <f t="shared" si="2"/>
        <v>11.89562547966232</v>
      </c>
      <c r="I25" s="3">
        <f t="shared" si="3"/>
        <v>42.7</v>
      </c>
      <c r="J25" s="29">
        <v>182.2</v>
      </c>
      <c r="K25" s="3">
        <v>38</v>
      </c>
      <c r="L25" s="3">
        <f t="shared" si="22"/>
        <v>20.856201975850716</v>
      </c>
      <c r="M25" s="29">
        <v>75</v>
      </c>
      <c r="N25" s="3">
        <v>0</v>
      </c>
      <c r="O25" s="3">
        <f t="shared" si="4"/>
        <v>0</v>
      </c>
      <c r="P25" s="29">
        <v>55.9</v>
      </c>
      <c r="Q25" s="3">
        <v>0.1</v>
      </c>
      <c r="R25" s="3">
        <f t="shared" si="5"/>
        <v>0.1788908765652952</v>
      </c>
      <c r="S25" s="29">
        <v>150.6</v>
      </c>
      <c r="T25" s="3">
        <v>4.6</v>
      </c>
      <c r="U25" s="3">
        <f t="shared" si="6"/>
        <v>3.0544488711819384</v>
      </c>
      <c r="V25" s="29">
        <v>49</v>
      </c>
      <c r="W25" s="14">
        <v>6.7</v>
      </c>
      <c r="X25" s="3">
        <f t="shared" si="7"/>
        <v>13.673469387755102</v>
      </c>
      <c r="Y25" s="31">
        <v>0</v>
      </c>
      <c r="Z25" s="14">
        <v>0</v>
      </c>
      <c r="AA25" s="3" t="e">
        <f t="shared" si="8"/>
        <v>#DIV/0!</v>
      </c>
      <c r="AB25" s="29">
        <v>1.9</v>
      </c>
      <c r="AC25" s="3">
        <v>0</v>
      </c>
      <c r="AD25" s="3">
        <f t="shared" si="9"/>
        <v>0</v>
      </c>
      <c r="AE25" s="29">
        <v>0</v>
      </c>
      <c r="AF25" s="3">
        <v>0</v>
      </c>
      <c r="AG25" s="3" t="e">
        <f t="shared" si="10"/>
        <v>#DIV/0!</v>
      </c>
      <c r="AH25" s="29">
        <v>1932.1</v>
      </c>
      <c r="AI25" s="3">
        <v>259.9</v>
      </c>
      <c r="AJ25" s="3">
        <f t="shared" si="23"/>
        <v>13.451684695409138</v>
      </c>
      <c r="AK25" s="29">
        <v>829.8</v>
      </c>
      <c r="AL25" s="3">
        <v>138.7</v>
      </c>
      <c r="AM25" s="3">
        <f t="shared" si="11"/>
        <v>16.71487105326585</v>
      </c>
      <c r="AN25" s="29">
        <v>694.2</v>
      </c>
      <c r="AO25" s="3">
        <v>56.2</v>
      </c>
      <c r="AP25" s="3">
        <f t="shared" si="12"/>
        <v>8.095649668683375</v>
      </c>
      <c r="AQ25" s="32">
        <v>2474.5</v>
      </c>
      <c r="AR25" s="4">
        <v>304.8</v>
      </c>
      <c r="AS25" s="3">
        <f t="shared" si="13"/>
        <v>12.317639927258032</v>
      </c>
      <c r="AT25" s="53">
        <v>608.5</v>
      </c>
      <c r="AU25" s="4">
        <v>73.3</v>
      </c>
      <c r="AV25" s="3">
        <f t="shared" si="14"/>
        <v>12.046014790468364</v>
      </c>
      <c r="AW25" s="51">
        <v>600.4</v>
      </c>
      <c r="AX25" s="4">
        <v>73.3</v>
      </c>
      <c r="AY25" s="3">
        <f t="shared" si="15"/>
        <v>12.20852764823451</v>
      </c>
      <c r="AZ25" s="32">
        <v>569.1</v>
      </c>
      <c r="BA25" s="6">
        <v>0</v>
      </c>
      <c r="BB25" s="14">
        <f t="shared" si="16"/>
        <v>0</v>
      </c>
      <c r="BC25" s="51">
        <v>113.1</v>
      </c>
      <c r="BD25" s="6">
        <v>22.9</v>
      </c>
      <c r="BE25" s="3">
        <f t="shared" si="17"/>
        <v>20.247568523430594</v>
      </c>
      <c r="BF25" s="51">
        <v>1108.8</v>
      </c>
      <c r="BG25" s="4">
        <v>204.6</v>
      </c>
      <c r="BH25" s="3">
        <f t="shared" si="18"/>
        <v>18.452380952380953</v>
      </c>
      <c r="BI25" s="49">
        <f t="shared" si="19"/>
        <v>-21.200000000000273</v>
      </c>
      <c r="BJ25" s="52">
        <f t="shared" si="20"/>
        <v>17.099999999999966</v>
      </c>
      <c r="BK25" s="3">
        <f t="shared" si="21"/>
        <v>-80.66037735848937</v>
      </c>
      <c r="BM25" s="20"/>
    </row>
    <row r="26" spans="1:65" s="18" customFormat="1" ht="12.75">
      <c r="A26" s="2">
        <v>17</v>
      </c>
      <c r="B26" s="46" t="s">
        <v>43</v>
      </c>
      <c r="C26" s="47">
        <f t="shared" si="0"/>
        <v>4920.5</v>
      </c>
      <c r="D26" s="48">
        <f t="shared" si="0"/>
        <v>585.7</v>
      </c>
      <c r="E26" s="3">
        <f t="shared" si="1"/>
        <v>11.903261863631744</v>
      </c>
      <c r="F26" s="29">
        <f>J26+M26+P26+S26+V26+Y26+AB26+AE26+9.9</f>
        <v>333.9</v>
      </c>
      <c r="G26" s="3">
        <f>K26+N26+Q26+T26+W26+Z26+AC26+AF26+1.1</f>
        <v>27.700000000000003</v>
      </c>
      <c r="H26" s="3">
        <f t="shared" si="2"/>
        <v>8.29589697514226</v>
      </c>
      <c r="I26" s="3">
        <f t="shared" si="3"/>
        <v>24.6</v>
      </c>
      <c r="J26" s="29">
        <v>153.3</v>
      </c>
      <c r="K26" s="3">
        <v>22.3</v>
      </c>
      <c r="L26" s="3">
        <f t="shared" si="22"/>
        <v>14.546640574037834</v>
      </c>
      <c r="M26" s="29">
        <v>14.5</v>
      </c>
      <c r="N26" s="3">
        <v>0</v>
      </c>
      <c r="O26" s="3">
        <f t="shared" si="4"/>
        <v>0</v>
      </c>
      <c r="P26" s="29">
        <v>47.7</v>
      </c>
      <c r="Q26" s="3">
        <v>1</v>
      </c>
      <c r="R26" s="3">
        <f t="shared" si="5"/>
        <v>2.0964360587002093</v>
      </c>
      <c r="S26" s="29">
        <v>100.5</v>
      </c>
      <c r="T26" s="3">
        <v>1.3</v>
      </c>
      <c r="U26" s="3">
        <f t="shared" si="6"/>
        <v>1.2935323383084578</v>
      </c>
      <c r="V26" s="29">
        <v>5</v>
      </c>
      <c r="W26" s="14">
        <v>0</v>
      </c>
      <c r="X26" s="3">
        <f t="shared" si="7"/>
        <v>0</v>
      </c>
      <c r="Y26" s="31">
        <v>0</v>
      </c>
      <c r="Z26" s="14">
        <v>0</v>
      </c>
      <c r="AA26" s="3" t="e">
        <f t="shared" si="8"/>
        <v>#DIV/0!</v>
      </c>
      <c r="AB26" s="29">
        <v>3</v>
      </c>
      <c r="AC26" s="3">
        <v>2</v>
      </c>
      <c r="AD26" s="3">
        <f t="shared" si="9"/>
        <v>66.66666666666666</v>
      </c>
      <c r="AE26" s="29">
        <v>0</v>
      </c>
      <c r="AF26" s="3">
        <v>0</v>
      </c>
      <c r="AG26" s="3" t="e">
        <f t="shared" si="10"/>
        <v>#DIV/0!</v>
      </c>
      <c r="AH26" s="29">
        <v>4586.6</v>
      </c>
      <c r="AI26" s="3">
        <v>558</v>
      </c>
      <c r="AJ26" s="3">
        <f t="shared" si="23"/>
        <v>12.165874503989883</v>
      </c>
      <c r="AK26" s="29">
        <v>1850.8</v>
      </c>
      <c r="AL26" s="3">
        <v>309.4</v>
      </c>
      <c r="AM26" s="3">
        <f t="shared" si="11"/>
        <v>16.717095310136155</v>
      </c>
      <c r="AN26" s="29">
        <v>1466.2</v>
      </c>
      <c r="AO26" s="3">
        <v>118.8</v>
      </c>
      <c r="AP26" s="3">
        <f t="shared" si="12"/>
        <v>8.1025780930296</v>
      </c>
      <c r="AQ26" s="32">
        <v>4936</v>
      </c>
      <c r="AR26" s="4">
        <v>450.6</v>
      </c>
      <c r="AS26" s="3">
        <f t="shared" si="13"/>
        <v>9.128849270664507</v>
      </c>
      <c r="AT26" s="53">
        <v>629.1</v>
      </c>
      <c r="AU26" s="4">
        <v>83.1</v>
      </c>
      <c r="AV26" s="3">
        <f t="shared" si="14"/>
        <v>13.209346685741535</v>
      </c>
      <c r="AW26" s="51">
        <v>620.5</v>
      </c>
      <c r="AX26" s="4">
        <v>83.1</v>
      </c>
      <c r="AY26" s="3">
        <f t="shared" si="15"/>
        <v>13.39242546333602</v>
      </c>
      <c r="AZ26" s="32">
        <v>798.2</v>
      </c>
      <c r="BA26" s="6">
        <v>0</v>
      </c>
      <c r="BB26" s="14">
        <f t="shared" si="16"/>
        <v>0</v>
      </c>
      <c r="BC26" s="51">
        <v>148.6</v>
      </c>
      <c r="BD26" s="6">
        <v>33.7</v>
      </c>
      <c r="BE26" s="3">
        <f t="shared" si="17"/>
        <v>22.678331090174968</v>
      </c>
      <c r="BF26" s="51">
        <v>2172.3</v>
      </c>
      <c r="BG26" s="4">
        <v>323.6</v>
      </c>
      <c r="BH26" s="3">
        <f t="shared" si="18"/>
        <v>14.896653316761036</v>
      </c>
      <c r="BI26" s="49">
        <f t="shared" si="19"/>
        <v>-15.5</v>
      </c>
      <c r="BJ26" s="52">
        <f t="shared" si="20"/>
        <v>135.10000000000002</v>
      </c>
      <c r="BK26" s="3">
        <f t="shared" si="21"/>
        <v>-871.6129032258065</v>
      </c>
      <c r="BM26" s="20"/>
    </row>
    <row r="27" spans="1:65" s="18" customFormat="1" ht="12.75">
      <c r="A27" s="2">
        <v>18</v>
      </c>
      <c r="B27" s="46" t="s">
        <v>44</v>
      </c>
      <c r="C27" s="47">
        <f t="shared" si="0"/>
        <v>4118.7</v>
      </c>
      <c r="D27" s="48">
        <f t="shared" si="0"/>
        <v>426</v>
      </c>
      <c r="E27" s="3">
        <f t="shared" si="1"/>
        <v>10.34306941510671</v>
      </c>
      <c r="F27" s="29">
        <f>J27+M27+P27+S27+V27+Y27+AB27+AE27+15.5</f>
        <v>200.2</v>
      </c>
      <c r="G27" s="3">
        <f>K27+N27+Q27+T27+W27+Z27+AC27+AF27+2.3+0.1</f>
        <v>15.1</v>
      </c>
      <c r="H27" s="3">
        <f t="shared" si="2"/>
        <v>7.542457542457543</v>
      </c>
      <c r="I27" s="3">
        <f t="shared" si="3"/>
        <v>12.6</v>
      </c>
      <c r="J27" s="29">
        <v>68.7</v>
      </c>
      <c r="K27" s="3">
        <v>9.6</v>
      </c>
      <c r="L27" s="3">
        <f t="shared" si="22"/>
        <v>13.973799126637553</v>
      </c>
      <c r="M27" s="29">
        <v>0</v>
      </c>
      <c r="N27" s="3">
        <v>0</v>
      </c>
      <c r="O27" s="3" t="e">
        <f t="shared" si="4"/>
        <v>#DIV/0!</v>
      </c>
      <c r="P27" s="29">
        <v>27.3</v>
      </c>
      <c r="Q27" s="3">
        <v>0.5</v>
      </c>
      <c r="R27" s="3">
        <f t="shared" si="5"/>
        <v>1.8315018315018317</v>
      </c>
      <c r="S27" s="29">
        <v>82.7</v>
      </c>
      <c r="T27" s="3">
        <v>2.5</v>
      </c>
      <c r="U27" s="3">
        <f t="shared" si="6"/>
        <v>3.022974607013301</v>
      </c>
      <c r="V27" s="29">
        <v>4</v>
      </c>
      <c r="W27" s="14">
        <v>0.1</v>
      </c>
      <c r="X27" s="3">
        <f t="shared" si="7"/>
        <v>2.5</v>
      </c>
      <c r="Y27" s="31">
        <v>0</v>
      </c>
      <c r="Z27" s="14">
        <v>0</v>
      </c>
      <c r="AA27" s="3" t="e">
        <f t="shared" si="8"/>
        <v>#DIV/0!</v>
      </c>
      <c r="AB27" s="29">
        <v>2</v>
      </c>
      <c r="AC27" s="3">
        <v>0</v>
      </c>
      <c r="AD27" s="3">
        <f t="shared" si="9"/>
        <v>0</v>
      </c>
      <c r="AE27" s="29">
        <v>0</v>
      </c>
      <c r="AF27" s="3">
        <v>0</v>
      </c>
      <c r="AG27" s="3" t="e">
        <f t="shared" si="10"/>
        <v>#DIV/0!</v>
      </c>
      <c r="AH27" s="29">
        <v>3918.5</v>
      </c>
      <c r="AI27" s="3">
        <v>410.9</v>
      </c>
      <c r="AJ27" s="3">
        <f t="shared" si="23"/>
        <v>10.4861554166135</v>
      </c>
      <c r="AK27" s="29">
        <v>1648.3</v>
      </c>
      <c r="AL27" s="3">
        <v>275.6</v>
      </c>
      <c r="AM27" s="3">
        <f t="shared" si="11"/>
        <v>16.72025723472669</v>
      </c>
      <c r="AN27" s="29">
        <v>869.5</v>
      </c>
      <c r="AO27" s="3">
        <v>70.4</v>
      </c>
      <c r="AP27" s="3">
        <f t="shared" si="12"/>
        <v>8.096607245543415</v>
      </c>
      <c r="AQ27" s="32">
        <v>4128.2</v>
      </c>
      <c r="AR27" s="4">
        <v>364.5</v>
      </c>
      <c r="AS27" s="3">
        <f t="shared" si="13"/>
        <v>8.829514073930527</v>
      </c>
      <c r="AT27" s="53">
        <v>645.8</v>
      </c>
      <c r="AU27" s="4">
        <v>92.5</v>
      </c>
      <c r="AV27" s="3">
        <f t="shared" si="14"/>
        <v>14.323319913285848</v>
      </c>
      <c r="AW27" s="51">
        <v>635.7</v>
      </c>
      <c r="AX27" s="4">
        <v>92.5</v>
      </c>
      <c r="AY27" s="3">
        <f t="shared" si="15"/>
        <v>14.550888784017618</v>
      </c>
      <c r="AZ27" s="32">
        <v>728.8</v>
      </c>
      <c r="BA27" s="6">
        <v>0</v>
      </c>
      <c r="BB27" s="14">
        <f t="shared" si="16"/>
        <v>0</v>
      </c>
      <c r="BC27" s="51">
        <v>174.9</v>
      </c>
      <c r="BD27" s="6">
        <v>22.2</v>
      </c>
      <c r="BE27" s="3">
        <f t="shared" si="17"/>
        <v>12.69296740994854</v>
      </c>
      <c r="BF27" s="51">
        <v>1662.6</v>
      </c>
      <c r="BG27" s="4">
        <v>244</v>
      </c>
      <c r="BH27" s="3">
        <f t="shared" si="18"/>
        <v>14.675808973896306</v>
      </c>
      <c r="BI27" s="49">
        <f t="shared" si="19"/>
        <v>-9.5</v>
      </c>
      <c r="BJ27" s="52">
        <f t="shared" si="20"/>
        <v>61.5</v>
      </c>
      <c r="BK27" s="3">
        <f t="shared" si="21"/>
        <v>-647.3684210526316</v>
      </c>
      <c r="BM27" s="20"/>
    </row>
    <row r="28" spans="1:65" s="18" customFormat="1" ht="12.75">
      <c r="A28" s="2">
        <v>19</v>
      </c>
      <c r="B28" s="46" t="s">
        <v>45</v>
      </c>
      <c r="C28" s="47">
        <f t="shared" si="0"/>
        <v>5509.2</v>
      </c>
      <c r="D28" s="48">
        <f t="shared" si="0"/>
        <v>498.09999999999997</v>
      </c>
      <c r="E28" s="3">
        <f t="shared" si="1"/>
        <v>9.041240107456618</v>
      </c>
      <c r="F28" s="29">
        <f>J28+M28+P28+S28+V28+Y28+AB28+AE28+45</f>
        <v>734.8</v>
      </c>
      <c r="G28" s="3">
        <f>K28+N28+Q28+T28+W28+Z28+AC28+AF28+2.7</f>
        <v>-50.90000000000001</v>
      </c>
      <c r="H28" s="3">
        <f t="shared" si="2"/>
        <v>-6.927054980947199</v>
      </c>
      <c r="I28" s="3">
        <f t="shared" si="3"/>
        <v>-96.60000000000001</v>
      </c>
      <c r="J28" s="29">
        <v>339.2</v>
      </c>
      <c r="K28" s="3">
        <v>23.9</v>
      </c>
      <c r="L28" s="3">
        <f t="shared" si="22"/>
        <v>7.0459905660377355</v>
      </c>
      <c r="M28" s="29">
        <v>52.5</v>
      </c>
      <c r="N28" s="3">
        <v>0.2</v>
      </c>
      <c r="O28" s="3">
        <f t="shared" si="4"/>
        <v>0.38095238095238093</v>
      </c>
      <c r="P28" s="29">
        <v>68.1</v>
      </c>
      <c r="Q28" s="3">
        <v>0.2</v>
      </c>
      <c r="R28" s="3">
        <f t="shared" si="5"/>
        <v>0.2936857562408223</v>
      </c>
      <c r="S28" s="29">
        <v>180</v>
      </c>
      <c r="T28" s="3">
        <v>-120.9</v>
      </c>
      <c r="U28" s="3">
        <f t="shared" si="6"/>
        <v>-67.16666666666667</v>
      </c>
      <c r="V28" s="29">
        <v>45</v>
      </c>
      <c r="W28" s="14">
        <v>10.6</v>
      </c>
      <c r="X28" s="3">
        <f t="shared" si="7"/>
        <v>23.555555555555554</v>
      </c>
      <c r="Y28" s="31">
        <v>0</v>
      </c>
      <c r="Z28" s="14">
        <v>0</v>
      </c>
      <c r="AA28" s="3" t="e">
        <f t="shared" si="8"/>
        <v>#DIV/0!</v>
      </c>
      <c r="AB28" s="29">
        <v>5</v>
      </c>
      <c r="AC28" s="3">
        <v>32.4</v>
      </c>
      <c r="AD28" s="3">
        <f t="shared" si="9"/>
        <v>648</v>
      </c>
      <c r="AE28" s="29">
        <v>0</v>
      </c>
      <c r="AF28" s="3">
        <v>0</v>
      </c>
      <c r="AG28" s="3" t="e">
        <f t="shared" si="10"/>
        <v>#DIV/0!</v>
      </c>
      <c r="AH28" s="29">
        <v>4774.4</v>
      </c>
      <c r="AI28" s="3">
        <v>549</v>
      </c>
      <c r="AJ28" s="3">
        <f t="shared" si="23"/>
        <v>11.49882707774799</v>
      </c>
      <c r="AK28" s="29">
        <v>1777.5</v>
      </c>
      <c r="AL28" s="3">
        <v>299.2</v>
      </c>
      <c r="AM28" s="3">
        <f t="shared" si="11"/>
        <v>16.83263009845288</v>
      </c>
      <c r="AN28" s="29">
        <v>1418.7</v>
      </c>
      <c r="AO28" s="3">
        <v>184.9</v>
      </c>
      <c r="AP28" s="3">
        <f t="shared" si="12"/>
        <v>13.033058433777404</v>
      </c>
      <c r="AQ28" s="32">
        <v>5543.1</v>
      </c>
      <c r="AR28" s="4">
        <v>465.2</v>
      </c>
      <c r="AS28" s="3">
        <f t="shared" si="13"/>
        <v>8.392415796215113</v>
      </c>
      <c r="AT28" s="53">
        <v>711.1</v>
      </c>
      <c r="AU28" s="4">
        <v>56.2</v>
      </c>
      <c r="AV28" s="3">
        <f t="shared" si="14"/>
        <v>7.903248488257629</v>
      </c>
      <c r="AW28" s="51">
        <v>701</v>
      </c>
      <c r="AX28" s="4">
        <v>56.2</v>
      </c>
      <c r="AY28" s="3">
        <f t="shared" si="15"/>
        <v>8.017118402282454</v>
      </c>
      <c r="AZ28" s="32">
        <v>916.4</v>
      </c>
      <c r="BA28" s="6">
        <v>0</v>
      </c>
      <c r="BB28" s="14">
        <f t="shared" si="16"/>
        <v>0</v>
      </c>
      <c r="BC28" s="51">
        <v>307.5</v>
      </c>
      <c r="BD28" s="6">
        <v>35.9</v>
      </c>
      <c r="BE28" s="3">
        <f t="shared" si="17"/>
        <v>11.674796747967479</v>
      </c>
      <c r="BF28" s="51">
        <v>2072.7</v>
      </c>
      <c r="BG28" s="4">
        <v>342</v>
      </c>
      <c r="BH28" s="3">
        <f t="shared" si="18"/>
        <v>16.500217108119845</v>
      </c>
      <c r="BI28" s="49">
        <f t="shared" si="19"/>
        <v>-33.900000000000546</v>
      </c>
      <c r="BJ28" s="52">
        <f t="shared" si="20"/>
        <v>32.89999999999998</v>
      </c>
      <c r="BK28" s="3">
        <f t="shared" si="21"/>
        <v>-97.05014749262374</v>
      </c>
      <c r="BM28" s="20"/>
    </row>
    <row r="29" spans="1:65" s="18" customFormat="1" ht="16.5" customHeight="1">
      <c r="A29" s="102" t="s">
        <v>13</v>
      </c>
      <c r="B29" s="103"/>
      <c r="C29" s="47">
        <f>SUM(C10:C28)</f>
        <v>119947.40000000001</v>
      </c>
      <c r="D29" s="48">
        <f>SUM(D10:D28)</f>
        <v>7346.099999999999</v>
      </c>
      <c r="E29" s="54">
        <f t="shared" si="1"/>
        <v>6.124434543808369</v>
      </c>
      <c r="F29" s="55">
        <f>SUM(F10:F28)</f>
        <v>27627.700000000004</v>
      </c>
      <c r="G29" s="56">
        <f>SUM(G10:G28)</f>
        <v>3354.7999999999993</v>
      </c>
      <c r="H29" s="54">
        <f>G29/F29*100</f>
        <v>12.142885582223634</v>
      </c>
      <c r="I29" s="3">
        <f t="shared" si="3"/>
        <v>3040.6000000000004</v>
      </c>
      <c r="J29" s="55">
        <f>SUM(J10:J28)</f>
        <v>16669.600000000002</v>
      </c>
      <c r="K29" s="56">
        <f>SUM(K10:K28)</f>
        <v>2340.7000000000003</v>
      </c>
      <c r="L29" s="54">
        <f>K29/J29*100</f>
        <v>14.041728655756586</v>
      </c>
      <c r="M29" s="55">
        <f>SUM(M10:M28)</f>
        <v>535.4000000000001</v>
      </c>
      <c r="N29" s="56">
        <f>SUM(N10:N28)</f>
        <v>1.4000000000000001</v>
      </c>
      <c r="O29" s="54">
        <f>N29/M29*100</f>
        <v>0.2614867388868136</v>
      </c>
      <c r="P29" s="55">
        <f>SUM(P10:P28)</f>
        <v>1545.0000000000002</v>
      </c>
      <c r="Q29" s="56">
        <f>SUM(Q10:Q28)</f>
        <v>19.200000000000003</v>
      </c>
      <c r="R29" s="54">
        <f>Q29/P29*100</f>
        <v>1.2427184466019419</v>
      </c>
      <c r="S29" s="55">
        <f>SUM(S10:S28)</f>
        <v>5804.1</v>
      </c>
      <c r="T29" s="56">
        <f>SUM(T10:T28)</f>
        <v>679.3000000000001</v>
      </c>
      <c r="U29" s="54">
        <f>T29/S29*100</f>
        <v>11.703795592770629</v>
      </c>
      <c r="V29" s="29">
        <f>SUM(V10:V28)</f>
        <v>2548.8</v>
      </c>
      <c r="W29" s="57">
        <f>SUM(W10:W28)</f>
        <v>224.29999999999995</v>
      </c>
      <c r="X29" s="3">
        <f>W29/V29*100</f>
        <v>8.800219711236657</v>
      </c>
      <c r="Y29" s="29">
        <f>SUM(Y10:Y28)</f>
        <v>0</v>
      </c>
      <c r="Z29" s="57">
        <f>SUM(Z10:Z28)</f>
        <v>0</v>
      </c>
      <c r="AA29" s="3" t="e">
        <f>Z29/Y29*100</f>
        <v>#DIV/0!</v>
      </c>
      <c r="AB29" s="29">
        <f>SUM(AB10:AB28)</f>
        <v>48.3</v>
      </c>
      <c r="AC29" s="57">
        <f>SUM(AC10:AC28)</f>
        <v>276.1</v>
      </c>
      <c r="AD29" s="3">
        <f>AC29/AB29*100</f>
        <v>571.6356107660456</v>
      </c>
      <c r="AE29" s="29">
        <f>SUM(AE10:AE28)</f>
        <v>0</v>
      </c>
      <c r="AF29" s="57">
        <f>SUM(AF10:AF28)</f>
        <v>0</v>
      </c>
      <c r="AG29" s="3" t="e">
        <f>AF29/AE29*100</f>
        <v>#DIV/0!</v>
      </c>
      <c r="AH29" s="29">
        <f>SUM(AH10:AH28)</f>
        <v>92319.7</v>
      </c>
      <c r="AI29" s="3">
        <f>SUM(AI10:AI28)</f>
        <v>3991.3</v>
      </c>
      <c r="AJ29" s="3">
        <f>AI29/AH29*100</f>
        <v>4.3233459380825545</v>
      </c>
      <c r="AK29" s="29">
        <f>SUM(AK10:AK28)</f>
        <v>33944.1</v>
      </c>
      <c r="AL29" s="3">
        <f>SUM(AL10:AL28)</f>
        <v>5657.400000000001</v>
      </c>
      <c r="AM29" s="3">
        <f>AL29/AK29*100</f>
        <v>16.666813967670375</v>
      </c>
      <c r="AN29" s="29">
        <f>SUM(AN10:AN28)</f>
        <v>16546.68</v>
      </c>
      <c r="AO29" s="3">
        <f>SUM(AO10:AO28)</f>
        <v>1410.2000000000003</v>
      </c>
      <c r="AP29" s="3">
        <f>AO29/AN29*100</f>
        <v>8.522555582146994</v>
      </c>
      <c r="AQ29" s="29">
        <f>SUM(AQ10:AQ28)</f>
        <v>121268.90000000001</v>
      </c>
      <c r="AR29" s="3">
        <f>SUM(AR10:AR28)</f>
        <v>9020.2</v>
      </c>
      <c r="AS29" s="3">
        <f>AR29/AQ29*100</f>
        <v>7.438180770172733</v>
      </c>
      <c r="AT29" s="29">
        <f>SUM(AT10:AT28)</f>
        <v>15885.800000000001</v>
      </c>
      <c r="AU29" s="3">
        <f>SUM(AU10:AU28)</f>
        <v>1792.7</v>
      </c>
      <c r="AV29" s="3">
        <f>AU29/AT29*100</f>
        <v>11.284921124526306</v>
      </c>
      <c r="AW29" s="29">
        <f>SUM(AW10:AW28)</f>
        <v>15458.7</v>
      </c>
      <c r="AX29" s="3">
        <f>SUM(AX10:AX28)</f>
        <v>1686.6</v>
      </c>
      <c r="AY29" s="3">
        <f>AX29/AW29*100</f>
        <v>10.910361155853984</v>
      </c>
      <c r="AZ29" s="29">
        <f>SUM(AZ10:AZ28)</f>
        <v>24108.8</v>
      </c>
      <c r="BA29" s="14">
        <f>SUM(BA10:BA28)</f>
        <v>88.5</v>
      </c>
      <c r="BB29" s="14">
        <f>BA29/AZ29*100</f>
        <v>0.3670858773559862</v>
      </c>
      <c r="BC29" s="29">
        <f>SUM(BC10:BC28)</f>
        <v>15938.7</v>
      </c>
      <c r="BD29" s="14">
        <f>SUM(BD10:BD28)</f>
        <v>858.3000000000001</v>
      </c>
      <c r="BE29" s="3">
        <f>BD29/BC29*100</f>
        <v>5.385006305407593</v>
      </c>
      <c r="BF29" s="29">
        <f>SUM(BF10:BF28)</f>
        <v>31560.899999999998</v>
      </c>
      <c r="BG29" s="3">
        <f>SUM(BG10:BG28)</f>
        <v>5952.600000000001</v>
      </c>
      <c r="BH29" s="3">
        <f>BG29/BF29*100</f>
        <v>18.86067887797877</v>
      </c>
      <c r="BI29" s="32">
        <f>SUM(BI10:BI28)</f>
        <v>-1321.4999999999982</v>
      </c>
      <c r="BJ29" s="58">
        <f>SUM(BJ10:BJ28)</f>
        <v>-1674.1000000000008</v>
      </c>
      <c r="BK29" s="3">
        <f t="shared" si="21"/>
        <v>126.68180098373085</v>
      </c>
      <c r="BM29" s="20"/>
    </row>
    <row r="30" spans="5:61" s="21" customFormat="1" ht="12.75">
      <c r="E30" s="22"/>
      <c r="F30" s="23"/>
      <c r="G30" s="22"/>
      <c r="S30" s="24"/>
      <c r="T30" s="24"/>
      <c r="W30" s="24"/>
      <c r="Z30" s="24"/>
      <c r="AH30" s="24"/>
      <c r="AQ30" s="41"/>
      <c r="AT30" s="25"/>
      <c r="BI30" s="34"/>
    </row>
    <row r="31" spans="6:60" ht="12.7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2"/>
      <c r="X31" s="8"/>
      <c r="Y31" s="8"/>
      <c r="Z31" s="12"/>
      <c r="AA31" s="8"/>
      <c r="AB31" s="8"/>
      <c r="AC31" s="8"/>
      <c r="AD31" s="8"/>
      <c r="AE31" s="8"/>
      <c r="AF31" s="8"/>
      <c r="AG31" s="8"/>
      <c r="AH31" s="20"/>
      <c r="AI31" s="20"/>
      <c r="AJ31" s="20"/>
      <c r="AK31" s="20"/>
      <c r="AL31" s="20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34:65" ht="15.75">
      <c r="AH32" s="19"/>
      <c r="BI32" s="5"/>
      <c r="BJ32" s="5"/>
      <c r="BK32" s="5"/>
      <c r="BL32" s="5"/>
      <c r="BM32" s="5"/>
    </row>
    <row r="33" spans="61:64" ht="13.5" customHeight="1">
      <c r="BI33" s="5"/>
      <c r="BJ33" s="5"/>
      <c r="BL33" s="5"/>
    </row>
    <row r="34" spans="34:60" ht="12.75" customHeight="1">
      <c r="AH34" s="19"/>
      <c r="AZ34" s="5"/>
      <c r="BA34" s="5"/>
      <c r="BB34" s="5"/>
      <c r="BC34" s="5"/>
      <c r="BD34" s="5"/>
      <c r="BE34" s="5"/>
      <c r="BF34" s="5"/>
      <c r="BG34" s="5"/>
      <c r="BH34" s="5"/>
    </row>
    <row r="35" ht="12.75">
      <c r="AH35" s="19"/>
    </row>
    <row r="36" ht="12.75">
      <c r="AH36" s="19"/>
    </row>
    <row r="37" ht="12.75">
      <c r="AH37" s="19"/>
    </row>
  </sheetData>
  <sheetProtection password="CEE3" sheet="1"/>
  <mergeCells count="31">
    <mergeCell ref="A9:B9"/>
    <mergeCell ref="A29:B29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2013-03-12T06:48:02Z</cp:lastPrinted>
  <dcterms:created xsi:type="dcterms:W3CDTF">2007-01-16T05:35:41Z</dcterms:created>
  <dcterms:modified xsi:type="dcterms:W3CDTF">2013-03-12T06:48:12Z</dcterms:modified>
  <cp:category/>
  <cp:version/>
  <cp:contentType/>
  <cp:contentStatus/>
</cp:coreProperties>
</file>